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https://kingsltd-my.sharepoint.com/personal/saeed_osman_kingsltd_co_uk/Documents/Documents/LG/"/>
    </mc:Choice>
  </mc:AlternateContent>
  <xr:revisionPtr revIDLastSave="33" documentId="8_{A0970A69-C094-4072-8439-CD94C3BF2628}" xr6:coauthVersionLast="47" xr6:coauthVersionMax="47" xr10:uidLastSave="{351E03C0-9811-4BC9-B81B-5A8F75E9C115}"/>
  <workbookProtection workbookAlgorithmName="SHA-512" workbookHashValue="/AB2SXojbunDXIK6m6lnt7QK9M104R1m+GjY14v6Cgsu9lUwAuF4JqYbEUyh19/E9XolHlNSr4LIn00KVnThBw==" workbookSaltValue="hoeIinnrwnyLEo4VwHVkIA==" workbookSpinCount="100000" lockStructure="1"/>
  <bookViews>
    <workbookView xWindow="28680" yWindow="-120" windowWidth="29040" windowHeight="15720" tabRatio="794" firstSheet="3" activeTab="3" xr2:uid="{00000000-000D-0000-FFFF-FFFF00000000}"/>
  </bookViews>
  <sheets>
    <sheet name="Setup" sheetId="6" state="hidden" r:id="rId1"/>
    <sheet name="Groups" sheetId="9" state="hidden" r:id="rId2"/>
    <sheet name="Key" sheetId="12" state="hidden" r:id="rId3"/>
    <sheet name="Dashboard" sheetId="20" r:id="rId4"/>
    <sheet name="Income Statement" sheetId="13" r:id="rId5"/>
    <sheet name="Balance Sheet" sheetId="15" r:id="rId6"/>
    <sheet name="Cashflow Statement" sheetId="14" r:id="rId7"/>
    <sheet name="Forecast" sheetId="16" r:id="rId8"/>
    <sheet name="ISMonth" sheetId="18" r:id="rId9"/>
    <sheet name="TBCY" sheetId="7" r:id="rId10"/>
    <sheet name="TBPY" sheetId="17" r:id="rId11"/>
    <sheet name="TBCheck" sheetId="19" r:id="rId12"/>
  </sheets>
  <definedNames>
    <definedName name="_xlnm._FilterDatabase" localSheetId="5" hidden="1">'Balance Sheet'!$A$4:$F$4</definedName>
    <definedName name="_xlnm._FilterDatabase" localSheetId="6" hidden="1">'Cashflow Statement'!$A$4:$F$4</definedName>
    <definedName name="_xlnm._FilterDatabase" localSheetId="7" hidden="1">Forecast!$A$4:$G$65</definedName>
    <definedName name="_xlnm._FilterDatabase" localSheetId="4" hidden="1">'Income Statement'!$A$4:$F$4</definedName>
    <definedName name="_xlnm._FilterDatabase" localSheetId="8" hidden="1">ISMonth!$A$4:$D$4</definedName>
    <definedName name="_xlnm._FilterDatabase" localSheetId="2" hidden="1">Key!$A$4:$B$67</definedName>
    <definedName name="_xlnm._FilterDatabase" localSheetId="9" hidden="1">TBCY!$A$4:$G$81</definedName>
    <definedName name="_xlnm._FilterDatabase" localSheetId="10" hidden="1">TBPY!$A$4:$H$65</definedName>
    <definedName name="BalRowNo">'Balance Sheet'!$B$1:$B$60</definedName>
    <definedName name="BSCode">OFFSET('Balance Sheet'!$A$4,1,0,ROW('Balance Sheet'!$A$41)-ROW('Balance Sheet'!$A$4),1)</definedName>
    <definedName name="CFSCode">OFFSET('Cashflow Statement'!$A$4,1,0,ROW('Cashflow Statement'!$A$40)-ROW('Cashflow Statement'!$A$4),1)</definedName>
    <definedName name="CfsRowNo">'Cashflow Statement'!$B$1:$B$60</definedName>
    <definedName name="CheckRowCount">COUNTA(OFFSET(TBCheck!$B$5,1,0,Records,1))</definedName>
    <definedName name="ExpenseAll">OFFSET('Income Statement'!$B$10,1,0,ROW('Income Statement'!$B$34)-ROW('Income Statement'!$B$10)-1,COLUMN('Income Statement'!$M$1))</definedName>
    <definedName name="ExpenseCY">OFFSET('Income Statement'!$J$10,1,0,ROW('Income Statement'!$B$34)-ROW('Income Statement'!$B$10)-1,1)</definedName>
    <definedName name="ExpenseList">OFFSET(ISMonth!$B$10,1,0,ROW(ISMonth!$B$34)-ROW(ISMonth!$B$10)-1,1)</definedName>
    <definedName name="ForAll">OFFSET(Forecast!$A$4,1,0,ForRowCount,COLUMN(Forecast!$O$4))</definedName>
    <definedName name="ForClass">OFFSET(Forecast!$A$4,1,0,ForRowCount,1)</definedName>
    <definedName name="ForMonths">Forecast!$D$4:$O$4</definedName>
    <definedName name="ForRowCount">COUNTA(OFFSET(Forecast!$B$4,1,0,Records,1))</definedName>
    <definedName name="GroupAll">OFFSET(Groups!$A$4,1,0,ROW(Groups!$A$41)-ROW(Groups!$A$4),COLUMN(Groups!$B$4))</definedName>
    <definedName name="IncRowNo">ISMonth!$B$1:$B$60</definedName>
    <definedName name="ISCode">OFFSET('Income Statement'!$A$4,1,0,ROW('Income Statement'!$A$41)-ROW('Income Statement'!$A$4),1)</definedName>
    <definedName name="IsRowNo">'Income Statement'!$B$1:$B$60</definedName>
    <definedName name="KeyAccount">OFFSET(Key!$A$4,1,0,KeyRowCount,1)</definedName>
    <definedName name="KeyAll">OFFSET(Key!$A$4,1,0,KeyRowCount,COLUMN(Key!$C$4))</definedName>
    <definedName name="KeyClass">OFFSET(Key!$C$4,1,0,KeyRowCount,1)</definedName>
    <definedName name="KeyRowCount">ROW(Key!$A$82)-ROW(Key!$A$4)</definedName>
    <definedName name="KeyStatus">OFFSET(Key!$D$4,1,0,KeyRowCount,1)</definedName>
    <definedName name="MonthNames">Setup!$B$26:$B$37</definedName>
    <definedName name="_xlnm.Print_Area" localSheetId="5">'Balance Sheet'!$B$1:$M$45</definedName>
    <definedName name="_xlnm.Print_Area" localSheetId="6">'Cashflow Statement'!$B$1:$M$40</definedName>
    <definedName name="_xlnm.Print_Area" localSheetId="3">Dashboard!$A$1:$L$52</definedName>
    <definedName name="_xlnm.Print_Area" localSheetId="4">'Income Statement'!$B$1:$M$45</definedName>
    <definedName name="_xlnm.Print_Area" localSheetId="8">ISMonth!$B$1:$O$41</definedName>
    <definedName name="_xlnm.Print_Titles" localSheetId="5">'Balance Sheet'!$1:$4</definedName>
    <definedName name="_xlnm.Print_Titles" localSheetId="6">'Cashflow Statement'!$1:$4</definedName>
    <definedName name="_xlnm.Print_Titles" localSheetId="7">Forecast!$1:$4</definedName>
    <definedName name="_xlnm.Print_Titles" localSheetId="4">'Income Statement'!$1:$4</definedName>
    <definedName name="_xlnm.Print_Titles" localSheetId="8">ISMonth!$1:$4</definedName>
    <definedName name="_xlnm.Print_Titles" localSheetId="2">Key!$1:$4</definedName>
    <definedName name="_xlnm.Print_Titles" localSheetId="11">TBCheck!$1:$5</definedName>
    <definedName name="_xlnm.Print_Titles" localSheetId="9">TBCY!$1:$4</definedName>
    <definedName name="_xlnm.Print_Titles" localSheetId="10">TBPY!$1:$4</definedName>
    <definedName name="PYAll">OFFSET(TBPY!$A$4,1,0,PYRowCount,COLUMN(TBPY!$P$4))</definedName>
    <definedName name="PYClass">OFFSET(TBPY!$A$4,1,0,PYRowCount,1)</definedName>
    <definedName name="PYMonths">TBPY!$E$4:$P$4</definedName>
    <definedName name="PYRowCount">COUNTA(OFFSET(TBPY!$B$4,1,0,Records,1))</definedName>
    <definedName name="Records">1000</definedName>
    <definedName name="TBAll">OFFSET(TBCY!$A$4,1,0,TBRowCount,COLUMN(TBCY!$O$4))</definedName>
    <definedName name="TBClass">OFFSET(TBCY!$A$4,1,0,TBRowCount,1)</definedName>
    <definedName name="TBMonths">TBCY!$D$4:$O$4</definedName>
    <definedName name="TBRowCount">COUNTA(OFFSET(TBCY!$B$4,1,0,Records,1))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7" i="7" l="1"/>
  <c r="C17" i="7"/>
  <c r="A16" i="7"/>
  <c r="C16" i="7"/>
  <c r="K4" i="20" l="1"/>
  <c r="E24" i="20"/>
  <c r="K33" i="20"/>
  <c r="E45" i="20"/>
  <c r="E41" i="20"/>
  <c r="J4" i="20"/>
  <c r="D24" i="20"/>
  <c r="J33" i="20"/>
  <c r="D45" i="20"/>
  <c r="D41" i="20"/>
  <c r="D2" i="20" l="1"/>
  <c r="B49" i="20"/>
  <c r="H47" i="20" s="1"/>
  <c r="B48" i="20"/>
  <c r="F49" i="20" s="1"/>
  <c r="B47" i="20"/>
  <c r="B46" i="20"/>
  <c r="H49" i="20" s="1"/>
  <c r="B44" i="20"/>
  <c r="B43" i="20"/>
  <c r="F47" i="20" s="1"/>
  <c r="B42" i="20"/>
  <c r="H12" i="20"/>
  <c r="H11" i="20"/>
  <c r="H6" i="20"/>
  <c r="B50" i="20"/>
  <c r="H7" i="20" l="1"/>
  <c r="H10" i="20"/>
  <c r="O3" i="16" l="1" a="1"/>
  <c r="O3" i="16" s="1"/>
  <c r="N3" i="16" a="1"/>
  <c r="N3" i="16" s="1"/>
  <c r="M3" i="16" a="1"/>
  <c r="M3" i="16" s="1"/>
  <c r="L3" i="16" a="1"/>
  <c r="L3" i="16" s="1"/>
  <c r="K3" i="16" a="1"/>
  <c r="K3" i="16" s="1"/>
  <c r="J3" i="16" a="1"/>
  <c r="J3" i="16" s="1"/>
  <c r="I3" i="16" a="1"/>
  <c r="I3" i="16" s="1"/>
  <c r="H3" i="16" a="1"/>
  <c r="H3" i="16" s="1"/>
  <c r="G3" i="16" a="1"/>
  <c r="G3" i="16" s="1"/>
  <c r="F3" i="16" a="1"/>
  <c r="F3" i="16" s="1"/>
  <c r="E3" i="16" a="1"/>
  <c r="E3" i="16" s="1"/>
  <c r="D3" i="16" a="1"/>
  <c r="D3" i="16" s="1"/>
  <c r="O3" i="7" a="1"/>
  <c r="O3" i="7" s="1"/>
  <c r="N3" i="7" a="1"/>
  <c r="N3" i="7" s="1"/>
  <c r="M3" i="7" a="1"/>
  <c r="M3" i="7" s="1"/>
  <c r="L3" i="7" a="1"/>
  <c r="L3" i="7" s="1"/>
  <c r="K3" i="7" a="1"/>
  <c r="K3" i="7" s="1"/>
  <c r="J3" i="7" a="1"/>
  <c r="J3" i="7" s="1"/>
  <c r="I3" i="7" a="1"/>
  <c r="I3" i="7" s="1"/>
  <c r="H3" i="7" a="1"/>
  <c r="H3" i="7" s="1"/>
  <c r="G3" i="7" a="1"/>
  <c r="G3" i="7" s="1"/>
  <c r="F3" i="7" a="1"/>
  <c r="F3" i="7" s="1"/>
  <c r="E3" i="7" a="1"/>
  <c r="E3" i="7" s="1"/>
  <c r="D3" i="7" a="1"/>
  <c r="D3" i="7" s="1"/>
  <c r="P3" i="17" a="1"/>
  <c r="P3" i="17" s="1"/>
  <c r="O3" i="17" a="1"/>
  <c r="O3" i="17" s="1"/>
  <c r="N3" i="17" a="1"/>
  <c r="N3" i="17" s="1"/>
  <c r="M3" i="17" a="1"/>
  <c r="M3" i="17" s="1"/>
  <c r="L3" i="17" a="1"/>
  <c r="L3" i="17" s="1"/>
  <c r="K3" i="17" a="1"/>
  <c r="K3" i="17" s="1"/>
  <c r="J3" i="17" a="1"/>
  <c r="J3" i="17" s="1"/>
  <c r="I3" i="17" a="1"/>
  <c r="I3" i="17" s="1"/>
  <c r="H3" i="17" a="1"/>
  <c r="H3" i="17" s="1"/>
  <c r="G3" i="17" a="1"/>
  <c r="G3" i="17" s="1"/>
  <c r="F3" i="17" a="1"/>
  <c r="F3" i="17" s="1"/>
  <c r="E3" i="17" a="1"/>
  <c r="E3" i="17" s="1"/>
  <c r="D3" i="17" a="1"/>
  <c r="D3" i="17" s="1"/>
  <c r="D81" i="12" l="1" a="1"/>
  <c r="D81" i="12" s="1"/>
  <c r="D80" i="12" a="1"/>
  <c r="D80" i="12" s="1"/>
  <c r="D79" i="12" a="1"/>
  <c r="D79" i="12" s="1"/>
  <c r="D78" i="12" a="1"/>
  <c r="D78" i="12" s="1"/>
  <c r="D77" i="12" a="1"/>
  <c r="D77" i="12" s="1"/>
  <c r="D76" i="12" a="1"/>
  <c r="D76" i="12" s="1"/>
  <c r="D75" i="12" a="1"/>
  <c r="D75" i="12" s="1"/>
  <c r="D74" i="12" a="1"/>
  <c r="D74" i="12" s="1"/>
  <c r="D73" i="12" a="1"/>
  <c r="D73" i="12" s="1"/>
  <c r="D72" i="12" a="1"/>
  <c r="D72" i="12" s="1"/>
  <c r="D71" i="12" a="1"/>
  <c r="D71" i="12" s="1"/>
  <c r="D70" i="12" a="1"/>
  <c r="D70" i="12" s="1"/>
  <c r="D69" i="12" a="1"/>
  <c r="D69" i="12" s="1"/>
  <c r="D68" i="12" a="1"/>
  <c r="D68" i="12" s="1"/>
  <c r="D67" i="12" a="1"/>
  <c r="D67" i="12" s="1"/>
  <c r="D66" i="12" a="1"/>
  <c r="D66" i="12" s="1"/>
  <c r="D65" i="12" a="1"/>
  <c r="D65" i="12" s="1"/>
  <c r="D64" i="12" a="1"/>
  <c r="D64" i="12" s="1"/>
  <c r="D63" i="12" a="1"/>
  <c r="D63" i="12" s="1"/>
  <c r="D62" i="12" a="1"/>
  <c r="D62" i="12" s="1"/>
  <c r="D61" i="12" a="1"/>
  <c r="D61" i="12" s="1"/>
  <c r="D60" i="12" a="1"/>
  <c r="D60" i="12" s="1"/>
  <c r="D59" i="12" a="1"/>
  <c r="D59" i="12" s="1"/>
  <c r="D58" i="12" a="1"/>
  <c r="D58" i="12" s="1"/>
  <c r="D57" i="12" a="1"/>
  <c r="D57" i="12" s="1"/>
  <c r="D56" i="12" a="1"/>
  <c r="D56" i="12" s="1"/>
  <c r="D55" i="12" a="1"/>
  <c r="D55" i="12" s="1"/>
  <c r="D54" i="12" a="1"/>
  <c r="D54" i="12" s="1"/>
  <c r="D53" i="12" a="1"/>
  <c r="D53" i="12" s="1"/>
  <c r="D52" i="12" a="1"/>
  <c r="D52" i="12" s="1"/>
  <c r="D51" i="12" a="1"/>
  <c r="D51" i="12" s="1"/>
  <c r="D50" i="12" a="1"/>
  <c r="D50" i="12" s="1"/>
  <c r="D49" i="12" a="1"/>
  <c r="D49" i="12" s="1"/>
  <c r="D48" i="12" a="1"/>
  <c r="D48" i="12" s="1"/>
  <c r="D47" i="12" a="1"/>
  <c r="D47" i="12" s="1"/>
  <c r="D46" i="12" a="1"/>
  <c r="D46" i="12" s="1"/>
  <c r="D45" i="12" a="1"/>
  <c r="D45" i="12" s="1"/>
  <c r="D44" i="12" a="1"/>
  <c r="D44" i="12" s="1"/>
  <c r="D43" i="12" a="1"/>
  <c r="D43" i="12" s="1"/>
  <c r="D42" i="12" a="1"/>
  <c r="D42" i="12" s="1"/>
  <c r="D41" i="12" a="1"/>
  <c r="D41" i="12" s="1"/>
  <c r="D40" i="12" a="1"/>
  <c r="D40" i="12" s="1"/>
  <c r="D39" i="12" a="1"/>
  <c r="D39" i="12" s="1"/>
  <c r="D38" i="12" a="1"/>
  <c r="D38" i="12" s="1"/>
  <c r="D37" i="12" a="1"/>
  <c r="D37" i="12" s="1"/>
  <c r="D36" i="12" a="1"/>
  <c r="D36" i="12" s="1"/>
  <c r="D35" i="12" a="1"/>
  <c r="D35" i="12" s="1"/>
  <c r="D34" i="12" a="1"/>
  <c r="D34" i="12" s="1"/>
  <c r="D33" i="12" a="1"/>
  <c r="D33" i="12" s="1"/>
  <c r="D32" i="12" a="1"/>
  <c r="D32" i="12" s="1"/>
  <c r="D31" i="12" a="1"/>
  <c r="D31" i="12" s="1"/>
  <c r="D30" i="12" a="1"/>
  <c r="D30" i="12" s="1"/>
  <c r="D29" i="12" a="1"/>
  <c r="D29" i="12" s="1"/>
  <c r="D28" i="12" a="1"/>
  <c r="D28" i="12" s="1"/>
  <c r="D27" i="12" a="1"/>
  <c r="D27" i="12" s="1"/>
  <c r="D26" i="12" a="1"/>
  <c r="D26" i="12" s="1"/>
  <c r="D25" i="12" a="1"/>
  <c r="D25" i="12" s="1"/>
  <c r="D24" i="12" a="1"/>
  <c r="D24" i="12" s="1"/>
  <c r="D23" i="12" a="1"/>
  <c r="D23" i="12" s="1"/>
  <c r="D22" i="12" a="1"/>
  <c r="D22" i="12" s="1"/>
  <c r="D21" i="12" a="1"/>
  <c r="D21" i="12" s="1"/>
  <c r="D20" i="12" a="1"/>
  <c r="D20" i="12" s="1"/>
  <c r="D19" i="12" a="1"/>
  <c r="D19" i="12" s="1"/>
  <c r="D18" i="12" a="1"/>
  <c r="D18" i="12" s="1"/>
  <c r="D17" i="12" a="1"/>
  <c r="D17" i="12" s="1"/>
  <c r="D16" i="12" a="1"/>
  <c r="D16" i="12" s="1"/>
  <c r="D15" i="12" a="1"/>
  <c r="D15" i="12" s="1"/>
  <c r="D14" i="12" a="1"/>
  <c r="D14" i="12" s="1"/>
  <c r="D13" i="12" a="1"/>
  <c r="D13" i="12" s="1"/>
  <c r="D12" i="12" a="1"/>
  <c r="D12" i="12" s="1"/>
  <c r="D11" i="12" a="1"/>
  <c r="D11" i="12" s="1"/>
  <c r="D10" i="12" a="1"/>
  <c r="D10" i="12" s="1"/>
  <c r="D9" i="12" a="1"/>
  <c r="D9" i="12" s="1"/>
  <c r="D8" i="12" a="1"/>
  <c r="D8" i="12" s="1"/>
  <c r="D7" i="12" a="1"/>
  <c r="D7" i="12" s="1"/>
  <c r="D6" i="12" a="1"/>
  <c r="D6" i="12" s="1"/>
  <c r="D5" i="12" a="1"/>
  <c r="D5" i="12" s="1"/>
  <c r="A1" i="16" l="1"/>
  <c r="A1" i="7"/>
  <c r="A1" i="17"/>
  <c r="A1" i="12"/>
  <c r="A1" i="9"/>
  <c r="A1" i="6"/>
  <c r="C81" i="17" l="1"/>
  <c r="C80" i="17"/>
  <c r="C79" i="17"/>
  <c r="C78" i="17"/>
  <c r="C77" i="17"/>
  <c r="C76" i="17"/>
  <c r="C75" i="17"/>
  <c r="C74" i="17"/>
  <c r="C73" i="17"/>
  <c r="C72" i="17"/>
  <c r="C71" i="17"/>
  <c r="C70" i="17"/>
  <c r="C69" i="17"/>
  <c r="C68" i="17"/>
  <c r="C67" i="17"/>
  <c r="C66" i="17"/>
  <c r="C65" i="17"/>
  <c r="C64" i="17"/>
  <c r="C63" i="17"/>
  <c r="C62" i="17"/>
  <c r="C61" i="17"/>
  <c r="C60" i="17"/>
  <c r="C59" i="17"/>
  <c r="C58" i="17"/>
  <c r="C57" i="17"/>
  <c r="C56" i="17"/>
  <c r="C55" i="17"/>
  <c r="C54" i="17"/>
  <c r="C53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9" i="17"/>
  <c r="C8" i="17"/>
  <c r="C7" i="17"/>
  <c r="C6" i="17"/>
  <c r="A81" i="17"/>
  <c r="A80" i="17"/>
  <c r="A79" i="17"/>
  <c r="A78" i="17"/>
  <c r="A77" i="17"/>
  <c r="A76" i="17"/>
  <c r="A75" i="17"/>
  <c r="A74" i="17"/>
  <c r="A73" i="17"/>
  <c r="A72" i="17"/>
  <c r="A71" i="17"/>
  <c r="A70" i="17"/>
  <c r="A69" i="17"/>
  <c r="A68" i="17"/>
  <c r="A67" i="17"/>
  <c r="A66" i="17"/>
  <c r="A65" i="17"/>
  <c r="A64" i="17"/>
  <c r="A63" i="17"/>
  <c r="A62" i="17"/>
  <c r="A61" i="17"/>
  <c r="A60" i="17"/>
  <c r="A59" i="17"/>
  <c r="A58" i="17"/>
  <c r="A57" i="17"/>
  <c r="A56" i="17"/>
  <c r="A55" i="17"/>
  <c r="A54" i="17"/>
  <c r="A53" i="17"/>
  <c r="A52" i="17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28" i="17"/>
  <c r="A27" i="17"/>
  <c r="A26" i="17"/>
  <c r="A25" i="17"/>
  <c r="A24" i="17"/>
  <c r="A23" i="17"/>
  <c r="A22" i="17"/>
  <c r="A21" i="17"/>
  <c r="A20" i="17"/>
  <c r="A19" i="17"/>
  <c r="A18" i="17"/>
  <c r="A17" i="17"/>
  <c r="A16" i="17"/>
  <c r="A15" i="17"/>
  <c r="A14" i="17"/>
  <c r="A13" i="17"/>
  <c r="A12" i="17"/>
  <c r="A11" i="17"/>
  <c r="A10" i="17"/>
  <c r="A9" i="17"/>
  <c r="A8" i="17"/>
  <c r="A7" i="17"/>
  <c r="A6" i="17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6" i="16"/>
  <c r="C22" i="7" l="1"/>
  <c r="A22" i="7"/>
  <c r="C21" i="7"/>
  <c r="A21" i="7"/>
  <c r="C20" i="7"/>
  <c r="A20" i="7"/>
  <c r="C19" i="7"/>
  <c r="A19" i="7"/>
  <c r="C18" i="7"/>
  <c r="A18" i="7"/>
  <c r="C15" i="7"/>
  <c r="A15" i="7"/>
  <c r="C14" i="7"/>
  <c r="A14" i="7"/>
  <c r="C13" i="7"/>
  <c r="A13" i="7"/>
  <c r="C12" i="7"/>
  <c r="A12" i="7"/>
  <c r="C10" i="7"/>
  <c r="A10" i="7"/>
  <c r="C9" i="7"/>
  <c r="A9" i="7"/>
  <c r="C8" i="7"/>
  <c r="A8" i="7"/>
  <c r="C7" i="7"/>
  <c r="A7" i="7"/>
  <c r="C6" i="7"/>
  <c r="A6" i="7"/>
  <c r="C5" i="16" l="1"/>
  <c r="A5" i="16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11" i="7"/>
  <c r="C5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11" i="7"/>
  <c r="A5" i="7"/>
  <c r="C5" i="17"/>
  <c r="A5" i="17"/>
  <c r="H9" i="20"/>
  <c r="H8" i="20"/>
  <c r="H5" i="20"/>
  <c r="C10" i="6" l="1"/>
  <c r="B37" i="6"/>
  <c r="B36" i="6"/>
  <c r="B35" i="6"/>
  <c r="B34" i="6"/>
  <c r="B33" i="6"/>
  <c r="B32" i="6"/>
  <c r="B31" i="6"/>
  <c r="B30" i="6"/>
  <c r="B29" i="6"/>
  <c r="B28" i="6"/>
  <c r="B27" i="6"/>
  <c r="B26" i="6"/>
  <c r="C14" i="6" l="1"/>
  <c r="D4" i="20" l="1"/>
  <c r="C16" i="6"/>
  <c r="D4" i="7"/>
  <c r="D4" i="16"/>
  <c r="E4" i="17"/>
  <c r="D4" i="17"/>
  <c r="E4" i="7" l="1"/>
  <c r="F4" i="17"/>
  <c r="E4" i="16"/>
  <c r="F4" i="7" l="1"/>
  <c r="F4" i="16"/>
  <c r="G4" i="17"/>
  <c r="G4" i="7" l="1"/>
  <c r="H4" i="17"/>
  <c r="G4" i="16"/>
  <c r="H4" i="16" l="1"/>
  <c r="I4" i="17"/>
  <c r="H4" i="7"/>
  <c r="J4" i="17" l="1"/>
  <c r="I4" i="7"/>
  <c r="I4" i="16"/>
  <c r="J4" i="7" l="1"/>
  <c r="J4" i="16"/>
  <c r="K4" i="17"/>
  <c r="L4" i="17" l="1"/>
  <c r="K4" i="16"/>
  <c r="K4" i="7"/>
  <c r="L4" i="16" l="1"/>
  <c r="M4" i="16" s="1"/>
  <c r="N4" i="16" s="1"/>
  <c r="O4" i="16" s="1"/>
  <c r="M4" i="17"/>
  <c r="L4" i="7"/>
  <c r="M4" i="7" l="1"/>
  <c r="N4" i="17"/>
  <c r="O4" i="17" s="1"/>
  <c r="P4" i="17" s="1"/>
  <c r="N4" i="7" l="1"/>
  <c r="J5" i="20"/>
  <c r="J9" i="20"/>
  <c r="J8" i="20"/>
  <c r="K8" i="20"/>
  <c r="K9" i="20"/>
  <c r="K5" i="20"/>
  <c r="J6" i="20"/>
  <c r="O4" i="7" l="1"/>
  <c r="J7" i="20"/>
  <c r="D48" i="20"/>
  <c r="D43" i="20"/>
  <c r="D47" i="20"/>
  <c r="D42" i="20"/>
  <c r="E42" i="20"/>
  <c r="E43" i="20"/>
  <c r="K7" i="20"/>
  <c r="E48" i="20"/>
  <c r="E47" i="20"/>
  <c r="J11" i="20" l="1"/>
  <c r="K6" i="20"/>
  <c r="J36" i="20"/>
  <c r="J35" i="20"/>
  <c r="D44" i="20"/>
  <c r="F50" i="20"/>
  <c r="F48" i="20"/>
  <c r="D49" i="20"/>
  <c r="E49" i="20"/>
  <c r="E44" i="20"/>
  <c r="K36" i="20" l="1"/>
  <c r="K35" i="20"/>
  <c r="J50" i="20"/>
  <c r="H48" i="20"/>
  <c r="J48" i="20"/>
  <c r="K11" i="20"/>
  <c r="J10" i="20"/>
  <c r="F27" i="20" l="1" a="1"/>
  <c r="F27" i="20" s="1"/>
  <c r="D28" i="20" a="1"/>
  <c r="D28" i="20" s="1"/>
  <c r="K10" i="20"/>
  <c r="D27" i="20" a="1"/>
  <c r="D27" i="20" s="1"/>
  <c r="E27" i="20" a="1"/>
  <c r="E27" i="20" s="1"/>
  <c r="E29" i="20" a="1"/>
  <c r="E29" i="20" s="1"/>
  <c r="F29" i="20" a="1"/>
  <c r="F29" i="20" s="1"/>
  <c r="B27" i="20" a="1"/>
  <c r="B27" i="20" s="1"/>
  <c r="B29" i="20" a="1"/>
  <c r="B29" i="20" s="1"/>
  <c r="D29" i="20" a="1"/>
  <c r="D29" i="20" s="1"/>
  <c r="B26" i="20" a="1"/>
  <c r="B26" i="20" s="1"/>
  <c r="F28" i="20" a="1"/>
  <c r="F28" i="20" s="1"/>
  <c r="E26" i="20" a="1"/>
  <c r="E26" i="20" s="1"/>
  <c r="B25" i="20" a="1"/>
  <c r="B25" i="20" s="1"/>
  <c r="F26" i="20" a="1"/>
  <c r="F26" i="20" s="1"/>
  <c r="E28" i="20" a="1"/>
  <c r="E28" i="20" s="1"/>
  <c r="D26" i="20" a="1"/>
  <c r="D26" i="20" s="1"/>
  <c r="E25" i="20" a="1"/>
  <c r="E25" i="20" s="1"/>
  <c r="F25" i="20" a="1"/>
  <c r="F25" i="20" s="1"/>
  <c r="D25" i="20" a="1"/>
  <c r="D25" i="20" s="1"/>
  <c r="B28" i="20" a="1"/>
  <c r="B28" i="20" s="1"/>
  <c r="E46" i="20" l="1"/>
  <c r="K12" i="20" l="1"/>
  <c r="E50" i="20"/>
  <c r="J34" i="20" l="1"/>
  <c r="F34" i="20"/>
  <c r="D46" i="20"/>
  <c r="H50" i="20" s="1"/>
  <c r="J12" i="20" l="1"/>
  <c r="J37" i="20"/>
  <c r="K37" i="20"/>
  <c r="D50" i="20"/>
  <c r="K34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<sst xmlns="http://schemas.openxmlformats.org/spreadsheetml/2006/main" count="1233" uniqueCount="383">
  <si>
    <t>Set-up</t>
  </si>
  <si>
    <t>Business Name</t>
  </si>
  <si>
    <t>Reporting Year</t>
  </si>
  <si>
    <t>Year End Period</t>
  </si>
  <si>
    <t>Other Income</t>
  </si>
  <si>
    <t>Dividends</t>
  </si>
  <si>
    <t>Class</t>
  </si>
  <si>
    <t>Account Description</t>
  </si>
  <si>
    <t>ASSETS</t>
  </si>
  <si>
    <t>Investments</t>
  </si>
  <si>
    <t>EQUITY &amp; LIABILITIES</t>
  </si>
  <si>
    <t>Equity</t>
  </si>
  <si>
    <t>Retained Earnings</t>
  </si>
  <si>
    <t>Cash flows from operating activities</t>
  </si>
  <si>
    <t>Net cash from operating activities</t>
  </si>
  <si>
    <t>Cash flows from investing activities</t>
  </si>
  <si>
    <t>Cash generated from operations</t>
  </si>
  <si>
    <t>Net cash used in investing activities</t>
  </si>
  <si>
    <t>Cash flows from financing activities</t>
  </si>
  <si>
    <t>Net cash used in financing activities</t>
  </si>
  <si>
    <t>Acc No</t>
  </si>
  <si>
    <t>Advertising &amp; Marketing</t>
  </si>
  <si>
    <t>Other Expenses</t>
  </si>
  <si>
    <t>Interest Paid</t>
  </si>
  <si>
    <t>Dividends Paid</t>
  </si>
  <si>
    <t>Description</t>
  </si>
  <si>
    <t>Trade Debtors</t>
  </si>
  <si>
    <t>Long Term Liabilities</t>
  </si>
  <si>
    <t>Provisions</t>
  </si>
  <si>
    <t>Trade Creditors</t>
  </si>
  <si>
    <t>Gross profit</t>
  </si>
  <si>
    <t>Profit / (Loss) before tax</t>
  </si>
  <si>
    <t>Income Statement</t>
  </si>
  <si>
    <t>Balance Sheet - Assets</t>
  </si>
  <si>
    <t>Balance Sheet - Equity</t>
  </si>
  <si>
    <t>Balance Sheet - Liabilities</t>
  </si>
  <si>
    <t>© www.excel-skills.com</t>
  </si>
  <si>
    <t>Year End Date</t>
  </si>
  <si>
    <t>Monthly Forecast</t>
  </si>
  <si>
    <t>Actual</t>
  </si>
  <si>
    <t>Forecast</t>
  </si>
  <si>
    <t>Diff</t>
  </si>
  <si>
    <t>Diff%</t>
  </si>
  <si>
    <t>Gross profit %</t>
  </si>
  <si>
    <t>Current Reporting Period</t>
  </si>
  <si>
    <t>Cash Transfer Control</t>
  </si>
  <si>
    <t>Sales Tax Control</t>
  </si>
  <si>
    <t>Reserves</t>
  </si>
  <si>
    <t>Turnover</t>
  </si>
  <si>
    <t>Accounting Fees</t>
  </si>
  <si>
    <t>Bank Charges</t>
  </si>
  <si>
    <t>Commission</t>
  </si>
  <si>
    <t>Computer Expenses</t>
  </si>
  <si>
    <t>Consumables &amp; Cleaning</t>
  </si>
  <si>
    <t>Entertainment</t>
  </si>
  <si>
    <t>Insurance</t>
  </si>
  <si>
    <t>Office Expenses</t>
  </si>
  <si>
    <t>Office Rent</t>
  </si>
  <si>
    <t>Postage</t>
  </si>
  <si>
    <t>Professional &amp; Legal Fees</t>
  </si>
  <si>
    <t>Stationery</t>
  </si>
  <si>
    <t>Subscriptions &amp; Memberships</t>
  </si>
  <si>
    <t>Telephone &amp; Internet</t>
  </si>
  <si>
    <t>Training</t>
  </si>
  <si>
    <t>Travelling &amp; Accommodation</t>
  </si>
  <si>
    <t>Utilities</t>
  </si>
  <si>
    <t>Depreciation</t>
  </si>
  <si>
    <t>Taxation</t>
  </si>
  <si>
    <t>B1 Bank Account</t>
  </si>
  <si>
    <t>B2 Bank Account</t>
  </si>
  <si>
    <t>B3 Bank Account</t>
  </si>
  <si>
    <t>Inventory</t>
  </si>
  <si>
    <t>Year-to-Date</t>
  </si>
  <si>
    <t>Current Month</t>
  </si>
  <si>
    <t>Retained earnings at end of period</t>
  </si>
  <si>
    <t>Profit / (Loss) for the period</t>
  </si>
  <si>
    <t>Cash equivalents at beginning of period</t>
  </si>
  <si>
    <t>Cash equivalents at end of period</t>
  </si>
  <si>
    <t>Prior Year</t>
  </si>
  <si>
    <t>Monthly Trial Balance - Current Year</t>
  </si>
  <si>
    <t>Monthly Trial Balance - Prior Year</t>
  </si>
  <si>
    <t>Prior Year Reporting Period</t>
  </si>
  <si>
    <t>Interest Payable</t>
  </si>
  <si>
    <t>Dividends Payable</t>
  </si>
  <si>
    <t>Provision for Taxation</t>
  </si>
  <si>
    <t>Monthly Income Statement</t>
  </si>
  <si>
    <t>Default Reporting Classes</t>
  </si>
  <si>
    <t>Total</t>
  </si>
  <si>
    <t>Reporting Period End Date</t>
  </si>
  <si>
    <t>Status</t>
  </si>
  <si>
    <t>Amount</t>
  </si>
  <si>
    <t>Check</t>
  </si>
  <si>
    <t>Trial Balance Sequence Check</t>
  </si>
  <si>
    <t>Current</t>
  </si>
  <si>
    <t>Select TB:</t>
  </si>
  <si>
    <t>BS-0005</t>
  </si>
  <si>
    <t>Land &amp; Buildings - Cost</t>
  </si>
  <si>
    <t>BS-0010</t>
  </si>
  <si>
    <t>Plant &amp; Equipment - Cost</t>
  </si>
  <si>
    <t>BS-0015</t>
  </si>
  <si>
    <t>Furniture &amp; Fittings - Cost</t>
  </si>
  <si>
    <t>BS-0020</t>
  </si>
  <si>
    <t>Office Equipment - Cost</t>
  </si>
  <si>
    <t>BS-0025</t>
  </si>
  <si>
    <t>Computer Equipment - Cost</t>
  </si>
  <si>
    <t>BS-0030</t>
  </si>
  <si>
    <t>Other Assets - Cost</t>
  </si>
  <si>
    <t>BS-0105</t>
  </si>
  <si>
    <t>Land &amp; Buildings - Accum Depreciation</t>
  </si>
  <si>
    <t>BS-0110</t>
  </si>
  <si>
    <t>Plant &amp; Equipment - Accum Depreciation</t>
  </si>
  <si>
    <t>BS-0115</t>
  </si>
  <si>
    <t>Furniture &amp; Fittings - Accum Depreciation</t>
  </si>
  <si>
    <t>BS-0120</t>
  </si>
  <si>
    <t>Office Equipment -  Accum Depreciation</t>
  </si>
  <si>
    <t>BS-0125</t>
  </si>
  <si>
    <t>Computer Equipment -  Accum Depreciation</t>
  </si>
  <si>
    <t>BS-0130</t>
  </si>
  <si>
    <t>Other Assets -  Accum Depreciation</t>
  </si>
  <si>
    <t>Property, Plant &amp; Equipment - Cost</t>
  </si>
  <si>
    <t>Property, Plant &amp; Equipment - Accum Dep</t>
  </si>
  <si>
    <t>Intangible Assets - Cost</t>
  </si>
  <si>
    <t>Intangible Assets - Amortization</t>
  </si>
  <si>
    <t>Non-Current Assets</t>
  </si>
  <si>
    <t>Current Assets</t>
  </si>
  <si>
    <t>Total Assets</t>
  </si>
  <si>
    <t>Non-Current Liabilities</t>
  </si>
  <si>
    <t>Current Liabilities</t>
  </si>
  <si>
    <t>Total Liabilities</t>
  </si>
  <si>
    <t>Total Equity &amp; Liabilities</t>
  </si>
  <si>
    <t>BS-0205</t>
  </si>
  <si>
    <t>Goodwill - Cost</t>
  </si>
  <si>
    <t>BS-0210</t>
  </si>
  <si>
    <t>Trademarks - Cost</t>
  </si>
  <si>
    <t>BS-0215</t>
  </si>
  <si>
    <t>Software - Cost</t>
  </si>
  <si>
    <t>BS-0305</t>
  </si>
  <si>
    <t>Goodwill - Accum Amortization</t>
  </si>
  <si>
    <t>BS-0310</t>
  </si>
  <si>
    <t>Trademarks - Accum Amortization</t>
  </si>
  <si>
    <t>BS-0315</t>
  </si>
  <si>
    <t>Software - Accum Amortization</t>
  </si>
  <si>
    <t>BS-0400</t>
  </si>
  <si>
    <t>Loans &amp; Advances</t>
  </si>
  <si>
    <t>Bank Accounts</t>
  </si>
  <si>
    <t>BS-BB1</t>
  </si>
  <si>
    <t>BS-BB2</t>
  </si>
  <si>
    <t>BS-BB3</t>
  </si>
  <si>
    <t>BS-BPC</t>
  </si>
  <si>
    <t>PC Petty Cash</t>
  </si>
  <si>
    <t>BS-BJC</t>
  </si>
  <si>
    <t>GL Journal Control</t>
  </si>
  <si>
    <t>BS-0700</t>
  </si>
  <si>
    <t>Cash On Hand</t>
  </si>
  <si>
    <t>BS-0799</t>
  </si>
  <si>
    <t>BS-0500</t>
  </si>
  <si>
    <t>BS-RCG</t>
  </si>
  <si>
    <t>BS-0900</t>
  </si>
  <si>
    <t>Other Debtors</t>
  </si>
  <si>
    <t>BS-0905</t>
  </si>
  <si>
    <t>Prepayments</t>
  </si>
  <si>
    <t>BS-STG</t>
  </si>
  <si>
    <t>Bank Overdraft</t>
  </si>
  <si>
    <t>BS-PAG</t>
  </si>
  <si>
    <t>BS-1300</t>
  </si>
  <si>
    <t>Accruals</t>
  </si>
  <si>
    <t>BS-1305</t>
  </si>
  <si>
    <t>Payroll Accruals</t>
  </si>
  <si>
    <t>BS-1310</t>
  </si>
  <si>
    <t>BS-1405</t>
  </si>
  <si>
    <t>End of list</t>
  </si>
  <si>
    <t>BS-1505</t>
  </si>
  <si>
    <t>Provision For Taxation</t>
  </si>
  <si>
    <t>Other Provisions</t>
  </si>
  <si>
    <t>BS-1610</t>
  </si>
  <si>
    <t>Provision For Bonuses</t>
  </si>
  <si>
    <t>BS-1700</t>
  </si>
  <si>
    <t>Sales Tax</t>
  </si>
  <si>
    <t>BS-1805</t>
  </si>
  <si>
    <t>Long Term Loans</t>
  </si>
  <si>
    <t>BS-1900</t>
  </si>
  <si>
    <t>BS-2000</t>
  </si>
  <si>
    <t>Shareholders' Contributions</t>
  </si>
  <si>
    <t>BS-RTG</t>
  </si>
  <si>
    <t>IS-0105</t>
  </si>
  <si>
    <t>Sales - Fruit Juice</t>
  </si>
  <si>
    <t>IS-0110</t>
  </si>
  <si>
    <t>Sales - Vegetable Juice</t>
  </si>
  <si>
    <t>IS-0205</t>
  </si>
  <si>
    <t>Cost of Sales - Fruit Juice</t>
  </si>
  <si>
    <t>IS-0210</t>
  </si>
  <si>
    <t>Cost of Sales - Vegetable Juice</t>
  </si>
  <si>
    <t>IS-0299</t>
  </si>
  <si>
    <t>Cost of Sales - Direct Costs</t>
  </si>
  <si>
    <t>Operating Expenses</t>
  </si>
  <si>
    <t>Staff Costs</t>
  </si>
  <si>
    <t>Depreciation &amp; Amortization</t>
  </si>
  <si>
    <t>IS-0600</t>
  </si>
  <si>
    <t>IS-0700</t>
  </si>
  <si>
    <t>Taxation Paid</t>
  </si>
  <si>
    <t>IS-0800</t>
  </si>
  <si>
    <t>IS-0900</t>
  </si>
  <si>
    <t>IS-1000</t>
  </si>
  <si>
    <t>I-09G</t>
  </si>
  <si>
    <t>Report Keys</t>
  </si>
  <si>
    <t>IS-0305</t>
  </si>
  <si>
    <t>IS-0310</t>
  </si>
  <si>
    <t>IS-0315</t>
  </si>
  <si>
    <t>IS-0320</t>
  </si>
  <si>
    <t>IS-0325</t>
  </si>
  <si>
    <t>IS-0330</t>
  </si>
  <si>
    <t>IS-0335</t>
  </si>
  <si>
    <t>IS-0340</t>
  </si>
  <si>
    <t>IS-0345</t>
  </si>
  <si>
    <t>IS-0350</t>
  </si>
  <si>
    <t>IS-0355</t>
  </si>
  <si>
    <t>IS-0360</t>
  </si>
  <si>
    <t>IS-0365</t>
  </si>
  <si>
    <t>IS-0370</t>
  </si>
  <si>
    <t>IS-0375</t>
  </si>
  <si>
    <t>IS-0380</t>
  </si>
  <si>
    <t>IS-0385</t>
  </si>
  <si>
    <t>IS-0390</t>
  </si>
  <si>
    <t>IS-0405</t>
  </si>
  <si>
    <t>Salaries &amp; Wages - Staff</t>
  </si>
  <si>
    <t>IS-0410</t>
  </si>
  <si>
    <t>Salaries &amp; Wages - Management</t>
  </si>
  <si>
    <t>IS-0505</t>
  </si>
  <si>
    <t>IS-0510</t>
  </si>
  <si>
    <t>Amortization</t>
  </si>
  <si>
    <t>IS-0805</t>
  </si>
  <si>
    <t>Foreign Exchange Loss</t>
  </si>
  <si>
    <t>IS-0810</t>
  </si>
  <si>
    <t>Loss on Disposal of Assets</t>
  </si>
  <si>
    <t>Profit / (Loss) before interest &amp; tax</t>
  </si>
  <si>
    <t>Cost of Sales</t>
  </si>
  <si>
    <t>Balance Sheet Status</t>
  </si>
  <si>
    <t>Retained Earnings - beginning of period</t>
  </si>
  <si>
    <t>I-01G</t>
  </si>
  <si>
    <t>I-02G</t>
  </si>
  <si>
    <t>I-03G</t>
  </si>
  <si>
    <t>I-04G</t>
  </si>
  <si>
    <t>I-05G</t>
  </si>
  <si>
    <t>I-06G</t>
  </si>
  <si>
    <t>I-07G</t>
  </si>
  <si>
    <t>I-08G</t>
  </si>
  <si>
    <t>I-10G</t>
  </si>
  <si>
    <t>B-00G</t>
  </si>
  <si>
    <t>B-01G</t>
  </si>
  <si>
    <t>B-02G</t>
  </si>
  <si>
    <t>B-03G</t>
  </si>
  <si>
    <t>B-04G</t>
  </si>
  <si>
    <t>B-05G</t>
  </si>
  <si>
    <t>B-06G</t>
  </si>
  <si>
    <t>B-07G</t>
  </si>
  <si>
    <t>B-08G</t>
  </si>
  <si>
    <t>B-09G</t>
  </si>
  <si>
    <t>B-10G</t>
  </si>
  <si>
    <t>B-11G</t>
  </si>
  <si>
    <t>B-12G</t>
  </si>
  <si>
    <t>B-13G</t>
  </si>
  <si>
    <t>B-14G</t>
  </si>
  <si>
    <t>B-15G</t>
  </si>
  <si>
    <t>B-16G</t>
  </si>
  <si>
    <t>B-17G</t>
  </si>
  <si>
    <t>B-18G</t>
  </si>
  <si>
    <t>B-19G</t>
  </si>
  <si>
    <t>B-20G</t>
  </si>
  <si>
    <t>B-21G</t>
  </si>
  <si>
    <t>I-0301G</t>
  </si>
  <si>
    <t>I-0302G</t>
  </si>
  <si>
    <t>I-0303G</t>
  </si>
  <si>
    <t>I-0304G</t>
  </si>
  <si>
    <t>I-0305G</t>
  </si>
  <si>
    <t>I-0306G</t>
  </si>
  <si>
    <t>I-0307G</t>
  </si>
  <si>
    <t>I-0308G</t>
  </si>
  <si>
    <t>I-0309G</t>
  </si>
  <si>
    <t>I-0310G</t>
  </si>
  <si>
    <t>I-0311G</t>
  </si>
  <si>
    <t>I-0312G</t>
  </si>
  <si>
    <t>I-0313G</t>
  </si>
  <si>
    <t>I-0314G</t>
  </si>
  <si>
    <t>I-0315G</t>
  </si>
  <si>
    <t>I-0316G</t>
  </si>
  <si>
    <t>I-0317G</t>
  </si>
  <si>
    <t>I-0318G</t>
  </si>
  <si>
    <t>I-0401G</t>
  </si>
  <si>
    <t>I-0402G</t>
  </si>
  <si>
    <t>I-0501G</t>
  </si>
  <si>
    <t>I-0502G</t>
  </si>
  <si>
    <t>Adjustment for non-cash expenses:</t>
  </si>
  <si>
    <t>Changes in operating assets &amp; liabilities</t>
  </si>
  <si>
    <t>Cash Flow Statement Status</t>
  </si>
  <si>
    <t>Code</t>
  </si>
  <si>
    <t>Reason</t>
  </si>
  <si>
    <t>E1</t>
  </si>
  <si>
    <t>E2</t>
  </si>
  <si>
    <t>E3</t>
  </si>
  <si>
    <t>E4</t>
  </si>
  <si>
    <t>E5</t>
  </si>
  <si>
    <t>Error Codes</t>
  </si>
  <si>
    <t>Missing key</t>
  </si>
  <si>
    <t>Trial balance does not balance</t>
  </si>
  <si>
    <t>Account with no key</t>
  </si>
  <si>
    <t>Blank key</t>
  </si>
  <si>
    <t>Duplicate key</t>
  </si>
  <si>
    <t>Example (Pty) Limited</t>
  </si>
  <si>
    <r>
      <rPr>
        <sz val="24"/>
        <rFont val="Century Gothic"/>
        <family val="2"/>
        <scheme val="minor"/>
      </rPr>
      <t>FINANCIAL</t>
    </r>
    <r>
      <rPr>
        <sz val="11"/>
        <rFont val="Century Gothic"/>
        <family val="1"/>
        <scheme val="minor"/>
      </rPr>
      <t xml:space="preserve">
</t>
    </r>
    <r>
      <rPr>
        <sz val="20"/>
        <rFont val="Century Gothic"/>
        <family val="2"/>
        <scheme val="minor"/>
      </rPr>
      <t>DASHBOARD</t>
    </r>
  </si>
  <si>
    <t>Top 5 Expenses By Value</t>
  </si>
  <si>
    <t>Interactive Expense Chart</t>
  </si>
  <si>
    <t>diff</t>
  </si>
  <si>
    <t>Select expense:</t>
  </si>
  <si>
    <t>Cash &amp; cash equivalents summary</t>
  </si>
  <si>
    <t>Cash from operating activities</t>
  </si>
  <si>
    <t>Cash used in investing activities</t>
  </si>
  <si>
    <t>Cash from financing activities</t>
  </si>
  <si>
    <t>Cash movement</t>
  </si>
  <si>
    <t>Balance sheet summary</t>
  </si>
  <si>
    <t>Net Assets</t>
  </si>
  <si>
    <t>Dashboard Data (not printed)</t>
  </si>
  <si>
    <t>Column Index</t>
  </si>
  <si>
    <t>Arrows</t>
  </si>
  <si>
    <t></t>
  </si>
  <si>
    <t></t>
  </si>
  <si>
    <t></t>
  </si>
  <si>
    <t>Income Statement formula</t>
  </si>
  <si>
    <t>%</t>
  </si>
  <si>
    <t>Value</t>
  </si>
  <si>
    <t>Rest</t>
  </si>
  <si>
    <t>Gap</t>
  </si>
  <si>
    <t>Line Item formula (Opex if GP% is nil)</t>
  </si>
  <si>
    <t>Line Item formula</t>
  </si>
  <si>
    <t>Line Item formula (Tax% if no interest)</t>
  </si>
  <si>
    <t>Income Statement Trends Section</t>
  </si>
  <si>
    <t>rank</t>
  </si>
  <si>
    <t>sequence</t>
  </si>
  <si>
    <t>Array formula</t>
  </si>
  <si>
    <t>Cash Flow Statement formula</t>
  </si>
  <si>
    <t>Cash &amp; cash equivalents section</t>
  </si>
  <si>
    <t>Balance sheet summary section</t>
  </si>
  <si>
    <t>Balance Sheet formula</t>
  </si>
  <si>
    <t>V1</t>
  </si>
  <si>
    <t>Periods</t>
  </si>
  <si>
    <t>ISMonthly formula</t>
  </si>
  <si>
    <t>Interest Cover</t>
  </si>
  <si>
    <t>Return on Equity (ROE)</t>
  </si>
  <si>
    <t>Return on Net Assets (RONA)</t>
  </si>
  <si>
    <t>Current Ratio</t>
  </si>
  <si>
    <t>Quick Ratio</t>
  </si>
  <si>
    <t>Debt / Equity</t>
  </si>
  <si>
    <t>Cash Balance</t>
  </si>
  <si>
    <t>Total non-current assets</t>
  </si>
  <si>
    <t>Total current assets</t>
  </si>
  <si>
    <t>Total equity</t>
  </si>
  <si>
    <t>Total non-current liabilities</t>
  </si>
  <si>
    <t>Total current liabilities</t>
  </si>
  <si>
    <t>Actual compared to:</t>
  </si>
  <si>
    <t>Net increase / (decrease) in cash</t>
  </si>
  <si>
    <t>Top 5 Expenses By Value (Actual)</t>
  </si>
  <si>
    <t>Income Statement Summary</t>
  </si>
  <si>
    <t>AS AT 28 FEBRUARY 2026</t>
  </si>
  <si>
    <t>Chart 1 : Turnover</t>
  </si>
  <si>
    <t>Chart 2 : Profit / (Loss) for the period</t>
  </si>
  <si>
    <t>Chart 3 : Gross Profit %</t>
  </si>
  <si>
    <t>Gross Profit %</t>
  </si>
  <si>
    <t>Chart 4 : Net Profit %</t>
  </si>
  <si>
    <t>Net Profit %</t>
  </si>
  <si>
    <t>Chart 5 : Interest Cover</t>
  </si>
  <si>
    <t>Chart 6 : ROE %</t>
  </si>
  <si>
    <t>ROE %</t>
  </si>
  <si>
    <t>Chart 7 : Interactive Expenses (select in cell G24 to change - default is total operating expenses)</t>
  </si>
  <si>
    <t>Chart 8 : Cash Balance</t>
  </si>
  <si>
    <t>Chart 9 : Current Ratio</t>
  </si>
  <si>
    <t>Chart 10 : Debt / Equity Ratio</t>
  </si>
  <si>
    <t>Debt / Equity Ratio</t>
  </si>
  <si>
    <t>Chart 11 : RONA</t>
  </si>
  <si>
    <t>RONA</t>
  </si>
  <si>
    <t>Income statement for the period ended 28 February 2026</t>
  </si>
  <si>
    <t>Balance sheet at 28 February 2026</t>
  </si>
  <si>
    <t/>
  </si>
  <si>
    <t>ok</t>
  </si>
  <si>
    <t>Statement of cash flows for the period ended 28 February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</si>
</sst>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 * #,##0.00_ ;_ * \-#,##0.00_ ;_ * &quot;-&quot;??_ ;_ @_ "/>
    <numFmt numFmtId="165" formatCode="dd\ mmmm\ yyyy"/>
    <numFmt numFmtId="166" formatCode="_ * #,##0_ ;_ * \-#,##0_ ;_ * &quot;-&quot;??_ ;_ @_ "/>
    <numFmt numFmtId="167" formatCode="0.0%"/>
    <numFmt numFmtId="168" formatCode="mmm\-yyyy"/>
    <numFmt numFmtId="169" formatCode="_ * #,##0_ ;_ * \(#,##0\)_ ;_ * &quot;-&quot;_ ;_ @_ "/>
    <numFmt numFmtId="170" formatCode="_ * #,##0.0%_ ;_ * \(#,##0.0%\)_ ;_ * &quot;-&quot;_ ;_ @_ "/>
    <numFmt numFmtId="171" formatCode="mmmm"/>
    <numFmt numFmtId="172" formatCode="#,##0.0"/>
    <numFmt numFmtId="173" formatCode="mmm/yyyy"/>
    <numFmt numFmtId="174" formatCode="_ * #,##0.0_ ;_ * \(#,##0.0\)_ ;_ * &quot;-&quot;_ ;_ @_ "/>
    <numFmt numFmtId="175" formatCode="#,##0.0;\-#,##0.0"/>
  </numFmts>
  <fonts count="37" x14ac:knownFonts="1">
    <font>
      <sz val="10"/>
      <name val="Century Gothic"/>
      <family val="2"/>
      <scheme val="minor"/>
    </font>
    <font>
      <sz val="10"/>
      <name val="Arial"/>
      <family val="2"/>
    </font>
    <font>
      <sz val="10"/>
      <color theme="1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sz val="11"/>
      <name val="Century Gothic"/>
      <family val="2"/>
      <scheme val="minor"/>
    </font>
    <font>
      <b/>
      <sz val="10"/>
      <name val="Century Gothic"/>
      <family val="2"/>
      <scheme val="minor"/>
    </font>
    <font>
      <sz val="10"/>
      <name val="Century Gothic"/>
      <family val="2"/>
      <scheme val="minor"/>
    </font>
    <font>
      <i/>
      <sz val="10"/>
      <name val="Century Gothic"/>
      <family val="2"/>
      <scheme val="minor"/>
    </font>
    <font>
      <b/>
      <sz val="12"/>
      <name val="Century Gothic"/>
      <family val="2"/>
      <scheme val="minor"/>
    </font>
    <font>
      <sz val="10"/>
      <color theme="0"/>
      <name val="Century Gothic"/>
      <family val="2"/>
      <scheme val="minor"/>
    </font>
    <font>
      <b/>
      <sz val="10"/>
      <color theme="0"/>
      <name val="Century Gothic"/>
      <family val="2"/>
      <scheme val="minor"/>
    </font>
    <font>
      <sz val="10"/>
      <color rgb="FFFF0000"/>
      <name val="Century Gothic"/>
      <family val="2"/>
      <scheme val="minor"/>
    </font>
    <font>
      <sz val="10"/>
      <color rgb="FF00B050"/>
      <name val="Century Gothic"/>
      <family val="2"/>
      <scheme val="minor"/>
    </font>
    <font>
      <sz val="9"/>
      <color rgb="FF008000"/>
      <name val="Century Gothic"/>
      <family val="2"/>
      <scheme val="minor"/>
    </font>
    <font>
      <i/>
      <sz val="9"/>
      <color rgb="FF008000"/>
      <name val="Century Gothic"/>
      <family val="2"/>
      <scheme val="minor"/>
    </font>
    <font>
      <b/>
      <sz val="9"/>
      <color rgb="FF008000"/>
      <name val="Century Gothic"/>
      <family val="2"/>
      <scheme val="minor"/>
    </font>
    <font>
      <sz val="9"/>
      <color rgb="FFFF0000"/>
      <name val="Century Gothic"/>
      <family val="2"/>
      <scheme val="minor"/>
    </font>
    <font>
      <sz val="9"/>
      <color rgb="FF00B050"/>
      <name val="Century Gothic"/>
      <family val="2"/>
      <scheme val="minor"/>
    </font>
    <font>
      <sz val="11"/>
      <name val="Century Gothic"/>
      <family val="1"/>
      <scheme val="minor"/>
    </font>
    <font>
      <sz val="14"/>
      <name val="Wingdings 3"/>
      <family val="1"/>
      <charset val="2"/>
    </font>
    <font>
      <sz val="24"/>
      <name val="Century Gothic"/>
      <family val="2"/>
      <scheme val="minor"/>
    </font>
    <font>
      <sz val="20"/>
      <name val="Century Gothic"/>
      <family val="2"/>
      <scheme val="minor"/>
    </font>
    <font>
      <sz val="18"/>
      <name val="Century Gothic"/>
      <family val="1"/>
      <scheme val="minor"/>
    </font>
    <font>
      <sz val="14"/>
      <name val="Century Gothic"/>
      <family val="1"/>
      <scheme val="minor"/>
    </font>
    <font>
      <b/>
      <sz val="11"/>
      <name val="Century Gothic"/>
      <family val="1"/>
      <scheme val="minor"/>
    </font>
    <font>
      <b/>
      <sz val="11"/>
      <name val="Century Gothic"/>
      <family val="2"/>
      <scheme val="minor"/>
    </font>
    <font>
      <sz val="10"/>
      <name val="Century Gothic"/>
      <family val="1"/>
      <scheme val="minor"/>
    </font>
    <font>
      <sz val="20"/>
      <name val="Century Gothic"/>
      <family val="1"/>
      <scheme val="minor"/>
    </font>
    <font>
      <b/>
      <sz val="14"/>
      <name val="Century Gothic"/>
      <family val="2"/>
      <scheme val="minor"/>
    </font>
    <font>
      <i/>
      <sz val="11"/>
      <name val="Century Gothic"/>
      <family val="2"/>
      <scheme val="minor"/>
    </font>
    <font>
      <sz val="11"/>
      <color theme="0"/>
      <name val="Century Gothic"/>
      <family val="2"/>
      <scheme val="minor"/>
    </font>
    <font>
      <b/>
      <sz val="12"/>
      <color theme="0"/>
      <name val="Century Gothic"/>
      <family val="1"/>
      <scheme val="minor"/>
    </font>
    <font>
      <b/>
      <sz val="11"/>
      <color theme="0"/>
      <name val="Century Gothic"/>
      <family val="1"/>
      <scheme val="minor"/>
    </font>
    <font>
      <i/>
      <sz val="11"/>
      <color theme="0"/>
      <name val="Century Gothic"/>
      <family val="2"/>
      <scheme val="minor"/>
    </font>
    <font>
      <sz val="11"/>
      <color theme="0"/>
      <name val="Century Gothic"/>
      <family val="1"/>
      <scheme val="minor"/>
    </font>
    <font>
      <sz val="11"/>
      <color theme="0"/>
      <name val="Wingdings 3"/>
      <family val="1"/>
      <charset val="2"/>
    </font>
    <font>
      <i/>
      <sz val="11"/>
      <color theme="0"/>
      <name val="Century Gothic"/>
      <family val="1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71"/>
        <bgColor indexed="64"/>
      </patternFill>
    </fill>
    <fill>
      <patternFill patternType="solid">
        <fgColor rgb="FF81C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 tint="0.14993743705557422"/>
      </left>
      <right style="medium">
        <color theme="1" tint="0.14993743705557422"/>
      </right>
      <top style="medium">
        <color theme="1" tint="0.14993743705557422"/>
      </top>
      <bottom style="medium">
        <color theme="1" tint="0.1499374370555742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theme="4" tint="-0.499984740745262"/>
      </left>
      <right style="thick">
        <color theme="4" tint="-0.499984740745262"/>
      </right>
      <top style="thick">
        <color theme="4" tint="-0.499984740745262"/>
      </top>
      <bottom/>
      <diagonal/>
    </border>
    <border>
      <left style="thick">
        <color theme="4" tint="-0.499984740745262"/>
      </left>
      <right/>
      <top style="thick">
        <color theme="4" tint="-0.499984740745262"/>
      </top>
      <bottom/>
      <diagonal/>
    </border>
    <border>
      <left/>
      <right/>
      <top style="thick">
        <color theme="4" tint="-0.499984740745262"/>
      </top>
      <bottom/>
      <diagonal/>
    </border>
    <border>
      <left/>
      <right style="thick">
        <color theme="4" tint="-0.499984740745262"/>
      </right>
      <top style="thick">
        <color theme="4" tint="-0.499984740745262"/>
      </top>
      <bottom/>
      <diagonal/>
    </border>
    <border>
      <left style="thick">
        <color theme="4" tint="-0.499984740745262"/>
      </left>
      <right/>
      <top/>
      <bottom/>
      <diagonal/>
    </border>
    <border>
      <left style="thick">
        <color theme="4" tint="-0.499984740745262"/>
      </left>
      <right style="thick">
        <color theme="4" tint="-0.499984740745262"/>
      </right>
      <top/>
      <bottom/>
      <diagonal/>
    </border>
    <border>
      <left style="thick">
        <color theme="4" tint="-0.499984740745262"/>
      </left>
      <right/>
      <top/>
      <bottom style="thick">
        <color theme="4" tint="-0.499984740745262"/>
      </bottom>
      <diagonal/>
    </border>
    <border>
      <left/>
      <right/>
      <top/>
      <bottom style="thick">
        <color theme="4" tint="-0.499984740745262"/>
      </bottom>
      <diagonal/>
    </border>
    <border>
      <left/>
      <right style="thick">
        <color theme="4" tint="-0.499984740745262"/>
      </right>
      <top/>
      <bottom style="thick">
        <color theme="4" tint="-0.499984740745262"/>
      </bottom>
      <diagonal/>
    </border>
    <border>
      <left style="thick">
        <color theme="4" tint="-0.499984740745262"/>
      </left>
      <right style="thick">
        <color theme="4" tint="-0.499984740745262"/>
      </right>
      <top/>
      <bottom style="thick">
        <color theme="4" tint="-0.499984740745262"/>
      </bottom>
      <diagonal/>
    </border>
    <border>
      <left/>
      <right style="thick">
        <color theme="4" tint="-0.499984740745262"/>
      </right>
      <top/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2" borderId="11" applyNumberFormat="0" applyAlignment="0" applyProtection="0"/>
    <xf numFmtId="0" fontId="3" fillId="3" borderId="12" applyNumberFormat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294">
    <xf numFmtId="0" fontId="0" fillId="0" borderId="0" xfId="0"/>
    <xf numFmtId="0" fontId="6" fillId="0" borderId="0" xfId="0" applyFont="1" applyProtection="1">
      <protection hidden="1"/>
    </xf>
    <xf numFmtId="0" fontId="7" fillId="0" borderId="0" xfId="0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9" fillId="0" borderId="0" xfId="0" applyFont="1" applyProtection="1">
      <protection hidden="1"/>
    </xf>
    <xf numFmtId="171" fontId="6" fillId="4" borderId="1" xfId="0" applyNumberFormat="1" applyFont="1" applyFill="1" applyBorder="1" applyAlignment="1" applyProtection="1">
      <alignment horizontal="center"/>
      <protection hidden="1"/>
    </xf>
    <xf numFmtId="0" fontId="6" fillId="4" borderId="1" xfId="0" applyFont="1" applyFill="1" applyBorder="1" applyAlignment="1" applyProtection="1">
      <alignment horizontal="center"/>
      <protection hidden="1"/>
    </xf>
    <xf numFmtId="168" fontId="6" fillId="4" borderId="1" xfId="0" applyNumberFormat="1" applyFont="1" applyFill="1" applyBorder="1" applyAlignment="1" applyProtection="1">
      <alignment horizontal="center"/>
      <protection hidden="1"/>
    </xf>
    <xf numFmtId="168" fontId="6" fillId="5" borderId="1" xfId="0" applyNumberFormat="1" applyFont="1" applyFill="1" applyBorder="1" applyAlignment="1" applyProtection="1">
      <alignment horizontal="center"/>
      <protection hidden="1"/>
    </xf>
    <xf numFmtId="168" fontId="6" fillId="0" borderId="0" xfId="0" applyNumberFormat="1" applyFont="1" applyAlignment="1" applyProtection="1">
      <alignment horizontal="center"/>
      <protection hidden="1"/>
    </xf>
    <xf numFmtId="171" fontId="9" fillId="0" borderId="0" xfId="0" applyNumberFormat="1" applyFont="1" applyAlignment="1" applyProtection="1">
      <alignment horizontal="left"/>
      <protection hidden="1"/>
    </xf>
    <xf numFmtId="0" fontId="5" fillId="5" borderId="1" xfId="0" applyFont="1" applyFill="1" applyBorder="1" applyAlignment="1" applyProtection="1">
      <alignment horizontal="left" vertical="center"/>
      <protection hidden="1"/>
    </xf>
    <xf numFmtId="0" fontId="6" fillId="4" borderId="13" xfId="0" applyFont="1" applyFill="1" applyBorder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164" fontId="6" fillId="0" borderId="0" xfId="1" applyFont="1" applyAlignment="1" applyProtection="1">
      <alignment horizontal="left"/>
      <protection hidden="1"/>
    </xf>
    <xf numFmtId="0" fontId="6" fillId="0" borderId="0" xfId="1" applyNumberFormat="1" applyFont="1" applyAlignment="1" applyProtection="1">
      <alignment horizontal="center"/>
      <protection hidden="1"/>
    </xf>
    <xf numFmtId="0" fontId="5" fillId="4" borderId="1" xfId="0" applyFont="1" applyFill="1" applyBorder="1" applyAlignment="1" applyProtection="1">
      <alignment horizontal="left" vertical="center"/>
      <protection hidden="1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5" fillId="5" borderId="1" xfId="1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64" fontId="6" fillId="0" borderId="0" xfId="1" applyFont="1" applyProtection="1">
      <protection hidden="1"/>
    </xf>
    <xf numFmtId="164" fontId="7" fillId="0" borderId="0" xfId="1" applyFont="1" applyAlignment="1" applyProtection="1">
      <alignment horizontal="left"/>
      <protection hidden="1"/>
    </xf>
    <xf numFmtId="0" fontId="7" fillId="0" borderId="0" xfId="1" applyNumberFormat="1" applyFont="1" applyAlignment="1" applyProtection="1">
      <alignment horizontal="center"/>
      <protection hidden="1"/>
    </xf>
    <xf numFmtId="0" fontId="9" fillId="0" borderId="0" xfId="0" applyFont="1" applyAlignment="1" applyProtection="1">
      <alignment horizontal="left"/>
      <protection hidden="1"/>
    </xf>
    <xf numFmtId="168" fontId="10" fillId="6" borderId="1" xfId="1" applyNumberFormat="1" applyFont="1" applyFill="1" applyBorder="1" applyAlignment="1" applyProtection="1">
      <alignment horizontal="center" vertical="center"/>
      <protection hidden="1"/>
    </xf>
    <xf numFmtId="168" fontId="5" fillId="4" borderId="1" xfId="1" applyNumberFormat="1" applyFont="1" applyFill="1" applyBorder="1" applyAlignment="1" applyProtection="1">
      <alignment horizontal="center" vertical="center"/>
      <protection hidden="1"/>
    </xf>
    <xf numFmtId="0" fontId="5" fillId="0" borderId="0" xfId="1" applyNumberFormat="1" applyFont="1" applyFill="1" applyBorder="1" applyAlignment="1" applyProtection="1">
      <alignment horizontal="center" vertical="center"/>
      <protection hidden="1"/>
    </xf>
    <xf numFmtId="169" fontId="6" fillId="0" borderId="0" xfId="1" applyNumberFormat="1" applyFont="1" applyProtection="1">
      <protection hidden="1"/>
    </xf>
    <xf numFmtId="170" fontId="6" fillId="0" borderId="0" xfId="1" applyNumberFormat="1" applyFont="1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164" fontId="6" fillId="0" borderId="0" xfId="1" applyFont="1" applyAlignment="1" applyProtection="1">
      <alignment vertical="center"/>
      <protection hidden="1"/>
    </xf>
    <xf numFmtId="169" fontId="5" fillId="5" borderId="8" xfId="1" applyNumberFormat="1" applyFont="1" applyFill="1" applyBorder="1" applyAlignment="1" applyProtection="1">
      <alignment horizontal="center" vertical="center"/>
      <protection hidden="1"/>
    </xf>
    <xf numFmtId="170" fontId="5" fillId="5" borderId="8" xfId="1" applyNumberFormat="1" applyFont="1" applyFill="1" applyBorder="1" applyAlignment="1" applyProtection="1">
      <alignment horizontal="center" vertical="center"/>
      <protection hidden="1"/>
    </xf>
    <xf numFmtId="169" fontId="6" fillId="0" borderId="0" xfId="1" applyNumberFormat="1" applyFont="1" applyBorder="1" applyProtection="1">
      <protection hidden="1"/>
    </xf>
    <xf numFmtId="170" fontId="6" fillId="0" borderId="0" xfId="1" applyNumberFormat="1" applyFont="1" applyBorder="1" applyProtection="1">
      <protection hidden="1"/>
    </xf>
    <xf numFmtId="169" fontId="6" fillId="0" borderId="2" xfId="1" applyNumberFormat="1" applyFont="1" applyBorder="1" applyProtection="1">
      <protection hidden="1"/>
    </xf>
    <xf numFmtId="170" fontId="6" fillId="0" borderId="2" xfId="1" applyNumberFormat="1" applyFont="1" applyBorder="1" applyProtection="1">
      <protection hidden="1"/>
    </xf>
    <xf numFmtId="167" fontId="7" fillId="0" borderId="0" xfId="4" applyNumberFormat="1" applyFont="1" applyAlignment="1" applyProtection="1">
      <alignment horizontal="left"/>
      <protection hidden="1"/>
    </xf>
    <xf numFmtId="170" fontId="7" fillId="0" borderId="0" xfId="4" applyNumberFormat="1" applyFont="1" applyProtection="1">
      <protection hidden="1"/>
    </xf>
    <xf numFmtId="170" fontId="7" fillId="0" borderId="0" xfId="4" applyNumberFormat="1" applyFont="1" applyBorder="1" applyProtection="1">
      <protection hidden="1"/>
    </xf>
    <xf numFmtId="167" fontId="7" fillId="0" borderId="0" xfId="4" applyNumberFormat="1" applyFont="1" applyProtection="1">
      <protection hidden="1"/>
    </xf>
    <xf numFmtId="169" fontId="6" fillId="0" borderId="3" xfId="1" applyNumberFormat="1" applyFont="1" applyBorder="1" applyProtection="1">
      <protection hidden="1"/>
    </xf>
    <xf numFmtId="170" fontId="6" fillId="0" borderId="3" xfId="1" applyNumberFormat="1" applyFont="1" applyBorder="1" applyProtection="1">
      <protection hidden="1"/>
    </xf>
    <xf numFmtId="169" fontId="6" fillId="0" borderId="4" xfId="1" applyNumberFormat="1" applyFont="1" applyBorder="1" applyProtection="1">
      <protection hidden="1"/>
    </xf>
    <xf numFmtId="170" fontId="6" fillId="0" borderId="4" xfId="1" applyNumberFormat="1" applyFont="1" applyBorder="1" applyProtection="1">
      <protection hidden="1"/>
    </xf>
    <xf numFmtId="169" fontId="6" fillId="0" borderId="5" xfId="1" applyNumberFormat="1" applyFont="1" applyBorder="1" applyProtection="1">
      <protection hidden="1"/>
    </xf>
    <xf numFmtId="170" fontId="6" fillId="0" borderId="5" xfId="1" applyNumberFormat="1" applyFont="1" applyBorder="1" applyProtection="1">
      <protection hidden="1"/>
    </xf>
    <xf numFmtId="0" fontId="5" fillId="0" borderId="0" xfId="0" applyFont="1" applyAlignment="1" applyProtection="1">
      <alignment horizontal="left"/>
      <protection hidden="1"/>
    </xf>
    <xf numFmtId="169" fontId="5" fillId="0" borderId="6" xfId="1" applyNumberFormat="1" applyFont="1" applyBorder="1" applyProtection="1">
      <protection hidden="1"/>
    </xf>
    <xf numFmtId="170" fontId="5" fillId="0" borderId="6" xfId="1" applyNumberFormat="1" applyFont="1" applyBorder="1" applyProtection="1">
      <protection hidden="1"/>
    </xf>
    <xf numFmtId="164" fontId="5" fillId="0" borderId="0" xfId="1" applyFont="1" applyProtection="1">
      <protection hidden="1"/>
    </xf>
    <xf numFmtId="49" fontId="7" fillId="0" borderId="0" xfId="0" applyNumberFormat="1" applyFont="1" applyAlignment="1" applyProtection="1">
      <alignment horizontal="left" vertical="center"/>
      <protection hidden="1"/>
    </xf>
    <xf numFmtId="169" fontId="6" fillId="0" borderId="0" xfId="1" applyNumberFormat="1" applyFont="1" applyAlignment="1" applyProtection="1">
      <alignment vertical="center"/>
      <protection hidden="1"/>
    </xf>
    <xf numFmtId="170" fontId="6" fillId="0" borderId="0" xfId="1" applyNumberFormat="1" applyFont="1" applyAlignment="1" applyProtection="1">
      <alignment vertical="center"/>
      <protection hidden="1"/>
    </xf>
    <xf numFmtId="49" fontId="9" fillId="0" borderId="0" xfId="0" applyNumberFormat="1" applyFont="1" applyAlignment="1" applyProtection="1">
      <alignment vertical="center"/>
      <protection hidden="1"/>
    </xf>
    <xf numFmtId="49" fontId="5" fillId="5" borderId="1" xfId="0" applyNumberFormat="1" applyFont="1" applyFill="1" applyBorder="1" applyAlignment="1" applyProtection="1">
      <alignment horizontal="left" vertical="center"/>
      <protection hidden="1"/>
    </xf>
    <xf numFmtId="169" fontId="5" fillId="5" borderId="1" xfId="1" applyNumberFormat="1" applyFont="1" applyFill="1" applyBorder="1" applyAlignment="1" applyProtection="1">
      <alignment horizontal="center" vertical="center"/>
      <protection hidden="1"/>
    </xf>
    <xf numFmtId="49" fontId="5" fillId="0" borderId="0" xfId="0" applyNumberFormat="1" applyFont="1" applyAlignment="1" applyProtection="1">
      <alignment horizontal="left"/>
      <protection hidden="1"/>
    </xf>
    <xf numFmtId="169" fontId="5" fillId="0" borderId="0" xfId="1" applyNumberFormat="1" applyFont="1" applyProtection="1">
      <protection hidden="1"/>
    </xf>
    <xf numFmtId="170" fontId="5" fillId="0" borderId="0" xfId="1" applyNumberFormat="1" applyFont="1" applyProtection="1">
      <protection hidden="1"/>
    </xf>
    <xf numFmtId="49" fontId="6" fillId="0" borderId="0" xfId="0" applyNumberFormat="1" applyFont="1" applyAlignment="1" applyProtection="1">
      <alignment horizontal="left"/>
      <protection hidden="1"/>
    </xf>
    <xf numFmtId="169" fontId="7" fillId="0" borderId="0" xfId="1" applyNumberFormat="1" applyFont="1" applyBorder="1" applyProtection="1">
      <protection hidden="1"/>
    </xf>
    <xf numFmtId="170" fontId="7" fillId="0" borderId="0" xfId="1" applyNumberFormat="1" applyFont="1" applyBorder="1" applyProtection="1">
      <protection hidden="1"/>
    </xf>
    <xf numFmtId="169" fontId="7" fillId="0" borderId="0" xfId="1" applyNumberFormat="1" applyFont="1" applyProtection="1">
      <protection hidden="1"/>
    </xf>
    <xf numFmtId="170" fontId="7" fillId="0" borderId="0" xfId="1" applyNumberFormat="1" applyFont="1" applyProtection="1">
      <protection hidden="1"/>
    </xf>
    <xf numFmtId="164" fontId="7" fillId="0" borderId="0" xfId="1" applyFont="1" applyProtection="1">
      <protection hidden="1"/>
    </xf>
    <xf numFmtId="49" fontId="7" fillId="0" borderId="0" xfId="0" applyNumberFormat="1" applyFont="1" applyAlignment="1" applyProtection="1">
      <alignment horizontal="left"/>
      <protection hidden="1"/>
    </xf>
    <xf numFmtId="169" fontId="7" fillId="0" borderId="2" xfId="1" applyNumberFormat="1" applyFont="1" applyBorder="1" applyProtection="1">
      <protection hidden="1"/>
    </xf>
    <xf numFmtId="170" fontId="7" fillId="0" borderId="2" xfId="1" applyNumberFormat="1" applyFont="1" applyBorder="1" applyProtection="1">
      <protection hidden="1"/>
    </xf>
    <xf numFmtId="169" fontId="7" fillId="0" borderId="15" xfId="1" applyNumberFormat="1" applyFont="1" applyBorder="1" applyProtection="1">
      <protection hidden="1"/>
    </xf>
    <xf numFmtId="170" fontId="7" fillId="0" borderId="15" xfId="1" applyNumberFormat="1" applyFont="1" applyBorder="1" applyProtection="1">
      <protection hidden="1"/>
    </xf>
    <xf numFmtId="169" fontId="6" fillId="0" borderId="15" xfId="1" applyNumberFormat="1" applyFont="1" applyBorder="1" applyProtection="1">
      <protection hidden="1"/>
    </xf>
    <xf numFmtId="170" fontId="6" fillId="0" borderId="15" xfId="1" applyNumberFormat="1" applyFont="1" applyBorder="1" applyProtection="1">
      <protection hidden="1"/>
    </xf>
    <xf numFmtId="169" fontId="5" fillId="0" borderId="15" xfId="1" applyNumberFormat="1" applyFont="1" applyBorder="1" applyProtection="1">
      <protection hidden="1"/>
    </xf>
    <xf numFmtId="170" fontId="5" fillId="0" borderId="15" xfId="1" applyNumberFormat="1" applyFont="1" applyBorder="1" applyProtection="1">
      <protection hidden="1"/>
    </xf>
    <xf numFmtId="169" fontId="5" fillId="0" borderId="16" xfId="1" applyNumberFormat="1" applyFont="1" applyBorder="1" applyProtection="1">
      <protection hidden="1"/>
    </xf>
    <xf numFmtId="170" fontId="5" fillId="0" borderId="16" xfId="1" applyNumberFormat="1" applyFont="1" applyBorder="1" applyProtection="1">
      <protection hidden="1"/>
    </xf>
    <xf numFmtId="0" fontId="11" fillId="0" borderId="0" xfId="0" applyFont="1" applyAlignment="1" applyProtection="1">
      <alignment horizontal="left"/>
      <protection hidden="1"/>
    </xf>
    <xf numFmtId="169" fontId="11" fillId="0" borderId="0" xfId="1" applyNumberFormat="1" applyFont="1" applyProtection="1">
      <protection hidden="1"/>
    </xf>
    <xf numFmtId="170" fontId="11" fillId="0" borderId="0" xfId="1" applyNumberFormat="1" applyFont="1" applyProtection="1">
      <protection hidden="1"/>
    </xf>
    <xf numFmtId="0" fontId="11" fillId="0" borderId="0" xfId="0" applyFont="1" applyProtection="1">
      <protection hidden="1"/>
    </xf>
    <xf numFmtId="164" fontId="11" fillId="0" borderId="0" xfId="1" applyFont="1" applyProtection="1">
      <protection hidden="1"/>
    </xf>
    <xf numFmtId="0" fontId="12" fillId="0" borderId="0" xfId="0" applyFont="1" applyAlignment="1" applyProtection="1">
      <alignment horizontal="left" vertical="center"/>
      <protection hidden="1"/>
    </xf>
    <xf numFmtId="169" fontId="12" fillId="0" borderId="0" xfId="1" applyNumberFormat="1" applyFont="1" applyAlignment="1" applyProtection="1">
      <alignment horizontal="center" vertical="center"/>
      <protection hidden="1"/>
    </xf>
    <xf numFmtId="169" fontId="12" fillId="0" borderId="0" xfId="1" applyNumberFormat="1" applyFont="1" applyAlignment="1" applyProtection="1">
      <alignment vertical="center"/>
      <protection hidden="1"/>
    </xf>
    <xf numFmtId="170" fontId="12" fillId="0" borderId="0" xfId="1" applyNumberFormat="1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164" fontId="12" fillId="0" borderId="0" xfId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left" vertical="center"/>
      <protection hidden="1"/>
    </xf>
    <xf numFmtId="169" fontId="11" fillId="0" borderId="0" xfId="1" applyNumberFormat="1" applyFont="1" applyAlignment="1" applyProtection="1">
      <alignment horizontal="center" vertical="center"/>
      <protection hidden="1"/>
    </xf>
    <xf numFmtId="169" fontId="11" fillId="0" borderId="0" xfId="1" applyNumberFormat="1" applyFont="1" applyAlignment="1" applyProtection="1">
      <alignment vertical="center"/>
      <protection hidden="1"/>
    </xf>
    <xf numFmtId="170" fontId="11" fillId="0" borderId="0" xfId="1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164" fontId="11" fillId="0" borderId="0" xfId="1" applyFont="1" applyAlignment="1" applyProtection="1">
      <alignment vertical="center"/>
      <protection hidden="1"/>
    </xf>
    <xf numFmtId="168" fontId="5" fillId="5" borderId="1" xfId="0" applyNumberFormat="1" applyFont="1" applyFill="1" applyBorder="1" applyAlignment="1" applyProtection="1">
      <alignment horizontal="left" vertical="center"/>
      <protection hidden="1"/>
    </xf>
    <xf numFmtId="168" fontId="5" fillId="5" borderId="1" xfId="1" applyNumberFormat="1" applyFont="1" applyFill="1" applyBorder="1" applyAlignment="1" applyProtection="1">
      <alignment horizontal="center" vertical="center"/>
      <protection hidden="1"/>
    </xf>
    <xf numFmtId="168" fontId="5" fillId="0" borderId="0" xfId="0" applyNumberFormat="1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164" fontId="9" fillId="0" borderId="0" xfId="1" applyFont="1" applyProtection="1">
      <protection hidden="1"/>
    </xf>
    <xf numFmtId="164" fontId="5" fillId="4" borderId="1" xfId="1" applyFont="1" applyFill="1" applyBorder="1" applyAlignment="1" applyProtection="1">
      <alignment horizontal="center" vertical="center"/>
      <protection hidden="1"/>
    </xf>
    <xf numFmtId="0" fontId="5" fillId="5" borderId="1" xfId="0" applyFont="1" applyFill="1" applyBorder="1" applyAlignment="1" applyProtection="1">
      <alignment horizontal="center" vertical="center"/>
      <protection hidden="1"/>
    </xf>
    <xf numFmtId="0" fontId="6" fillId="5" borderId="14" xfId="0" applyFont="1" applyFill="1" applyBorder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13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 vertical="center"/>
      <protection hidden="1"/>
    </xf>
    <xf numFmtId="168" fontId="13" fillId="0" borderId="0" xfId="0" applyNumberFormat="1" applyFont="1" applyProtection="1">
      <protection hidden="1"/>
    </xf>
    <xf numFmtId="167" fontId="14" fillId="0" borderId="0" xfId="4" applyNumberFormat="1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3" fillId="0" borderId="0" xfId="0" applyFont="1" applyProtection="1">
      <protection hidden="1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horizontal="left"/>
      <protection hidden="1"/>
    </xf>
    <xf numFmtId="174" fontId="6" fillId="0" borderId="0" xfId="1" applyNumberFormat="1" applyFont="1" applyProtection="1">
      <protection hidden="1"/>
    </xf>
    <xf numFmtId="169" fontId="5" fillId="0" borderId="0" xfId="1" applyNumberFormat="1" applyFont="1" applyBorder="1" applyProtection="1">
      <protection hidden="1"/>
    </xf>
    <xf numFmtId="170" fontId="5" fillId="0" borderId="0" xfId="1" applyNumberFormat="1" applyFont="1" applyBorder="1" applyProtection="1">
      <protection hidden="1"/>
    </xf>
    <xf numFmtId="0" fontId="0" fillId="0" borderId="0" xfId="0" applyAlignment="1" applyProtection="1">
      <alignment horizontal="left"/>
      <protection hidden="1"/>
    </xf>
    <xf numFmtId="0" fontId="0" fillId="0" borderId="0" xfId="0" applyProtection="1">
      <protection hidden="1"/>
    </xf>
    <xf numFmtId="174" fontId="6" fillId="0" borderId="0" xfId="1" applyNumberFormat="1" applyFont="1" applyBorder="1" applyProtection="1">
      <protection hidden="1"/>
    </xf>
    <xf numFmtId="0" fontId="18" fillId="7" borderId="0" xfId="5" applyFont="1" applyFill="1" applyProtection="1">
      <protection hidden="1"/>
    </xf>
    <xf numFmtId="0" fontId="18" fillId="7" borderId="0" xfId="5" applyFont="1" applyFill="1" applyAlignment="1" applyProtection="1">
      <alignment horizontal="center"/>
      <protection hidden="1"/>
    </xf>
    <xf numFmtId="0" fontId="18" fillId="0" borderId="0" xfId="5" applyFont="1" applyProtection="1">
      <protection hidden="1"/>
    </xf>
    <xf numFmtId="0" fontId="18" fillId="8" borderId="0" xfId="5" applyFont="1" applyFill="1" applyAlignment="1" applyProtection="1">
      <alignment horizontal="left" indent="1"/>
      <protection hidden="1"/>
    </xf>
    <xf numFmtId="0" fontId="25" fillId="0" borderId="0" xfId="5" applyFont="1" applyAlignment="1" applyProtection="1">
      <alignment horizontal="center"/>
      <protection hidden="1"/>
    </xf>
    <xf numFmtId="0" fontId="24" fillId="8" borderId="0" xfId="5" applyFont="1" applyFill="1" applyAlignment="1" applyProtection="1">
      <alignment horizontal="center"/>
      <protection hidden="1"/>
    </xf>
    <xf numFmtId="167" fontId="18" fillId="8" borderId="0" xfId="5" applyNumberFormat="1" applyFont="1" applyFill="1" applyAlignment="1" applyProtection="1">
      <alignment horizontal="left" indent="1"/>
      <protection hidden="1"/>
    </xf>
    <xf numFmtId="37" fontId="18" fillId="0" borderId="0" xfId="5" applyNumberFormat="1" applyFont="1" applyAlignment="1" applyProtection="1">
      <alignment horizontal="center"/>
      <protection hidden="1"/>
    </xf>
    <xf numFmtId="3" fontId="18" fillId="0" borderId="0" xfId="5" applyNumberFormat="1" applyFont="1" applyAlignment="1" applyProtection="1">
      <alignment horizontal="center"/>
      <protection hidden="1"/>
    </xf>
    <xf numFmtId="0" fontId="18" fillId="0" borderId="19" xfId="5" applyFont="1" applyBorder="1" applyAlignment="1" applyProtection="1">
      <alignment horizontal="center" vertical="center"/>
      <protection hidden="1"/>
    </xf>
    <xf numFmtId="0" fontId="18" fillId="0" borderId="0" xfId="5" applyFont="1" applyAlignment="1" applyProtection="1">
      <alignment horizontal="center" vertical="center"/>
      <protection hidden="1"/>
    </xf>
    <xf numFmtId="0" fontId="18" fillId="0" borderId="27" xfId="5" applyFont="1" applyBorder="1" applyAlignment="1" applyProtection="1">
      <alignment horizontal="center" vertical="center"/>
      <protection hidden="1"/>
    </xf>
    <xf numFmtId="0" fontId="18" fillId="0" borderId="27" xfId="5" applyFont="1" applyBorder="1" applyAlignment="1" applyProtection="1">
      <alignment horizontal="center"/>
      <protection hidden="1"/>
    </xf>
    <xf numFmtId="175" fontId="18" fillId="0" borderId="0" xfId="5" applyNumberFormat="1" applyFont="1" applyAlignment="1" applyProtection="1">
      <alignment horizontal="center"/>
      <protection hidden="1"/>
    </xf>
    <xf numFmtId="172" fontId="18" fillId="0" borderId="0" xfId="5" applyNumberFormat="1" applyFont="1" applyAlignment="1" applyProtection="1">
      <alignment horizontal="center"/>
      <protection hidden="1"/>
    </xf>
    <xf numFmtId="9" fontId="18" fillId="0" borderId="0" xfId="4" applyFont="1" applyAlignment="1" applyProtection="1">
      <alignment horizontal="center"/>
      <protection hidden="1"/>
    </xf>
    <xf numFmtId="0" fontId="18" fillId="0" borderId="25" xfId="5" applyFont="1" applyBorder="1" applyAlignment="1" applyProtection="1">
      <alignment horizontal="center"/>
      <protection hidden="1"/>
    </xf>
    <xf numFmtId="0" fontId="18" fillId="8" borderId="24" xfId="5" applyFont="1" applyFill="1" applyBorder="1" applyAlignment="1" applyProtection="1">
      <alignment horizontal="left" indent="1"/>
      <protection hidden="1"/>
    </xf>
    <xf numFmtId="167" fontId="18" fillId="8" borderId="24" xfId="4" applyNumberFormat="1" applyFont="1" applyFill="1" applyBorder="1" applyAlignment="1" applyProtection="1">
      <alignment horizontal="center"/>
      <protection hidden="1"/>
    </xf>
    <xf numFmtId="0" fontId="18" fillId="0" borderId="18" xfId="5" applyFont="1" applyBorder="1" applyProtection="1">
      <protection hidden="1"/>
    </xf>
    <xf numFmtId="0" fontId="18" fillId="0" borderId="19" xfId="5" applyFont="1" applyBorder="1" applyProtection="1">
      <protection hidden="1"/>
    </xf>
    <xf numFmtId="0" fontId="18" fillId="0" borderId="20" xfId="5" applyFont="1" applyBorder="1" applyProtection="1">
      <protection hidden="1"/>
    </xf>
    <xf numFmtId="0" fontId="18" fillId="0" borderId="18" xfId="5" applyFont="1" applyBorder="1" applyAlignment="1" applyProtection="1">
      <alignment horizontal="center" vertical="center"/>
      <protection hidden="1"/>
    </xf>
    <xf numFmtId="0" fontId="18" fillId="0" borderId="21" xfId="5" applyFont="1" applyBorder="1" applyProtection="1">
      <protection hidden="1"/>
    </xf>
    <xf numFmtId="0" fontId="18" fillId="0" borderId="27" xfId="5" applyFont="1" applyBorder="1" applyProtection="1">
      <protection hidden="1"/>
    </xf>
    <xf numFmtId="0" fontId="18" fillId="0" borderId="21" xfId="5" applyFont="1" applyBorder="1" applyAlignment="1" applyProtection="1">
      <alignment horizontal="center" vertical="center"/>
      <protection hidden="1"/>
    </xf>
    <xf numFmtId="0" fontId="18" fillId="0" borderId="23" xfId="5" applyFont="1" applyBorder="1" applyProtection="1">
      <protection hidden="1"/>
    </xf>
    <xf numFmtId="0" fontId="18" fillId="0" borderId="24" xfId="5" applyFont="1" applyBorder="1" applyProtection="1">
      <protection hidden="1"/>
    </xf>
    <xf numFmtId="0" fontId="18" fillId="0" borderId="25" xfId="5" applyFont="1" applyBorder="1" applyProtection="1">
      <protection hidden="1"/>
    </xf>
    <xf numFmtId="0" fontId="18" fillId="0" borderId="23" xfId="5" applyFont="1" applyBorder="1" applyAlignment="1" applyProtection="1">
      <alignment horizontal="center" vertical="center"/>
      <protection hidden="1"/>
    </xf>
    <xf numFmtId="0" fontId="18" fillId="7" borderId="0" xfId="5" applyFont="1" applyFill="1" applyAlignment="1" applyProtection="1">
      <alignment vertical="center"/>
      <protection hidden="1"/>
    </xf>
    <xf numFmtId="0" fontId="18" fillId="0" borderId="21" xfId="5" applyFont="1" applyBorder="1" applyAlignment="1" applyProtection="1">
      <alignment vertical="center"/>
      <protection hidden="1"/>
    </xf>
    <xf numFmtId="0" fontId="18" fillId="0" borderId="0" xfId="5" applyFont="1" applyAlignment="1" applyProtection="1">
      <alignment vertical="center"/>
      <protection hidden="1"/>
    </xf>
    <xf numFmtId="0" fontId="25" fillId="0" borderId="0" xfId="5" applyFont="1" applyAlignment="1" applyProtection="1">
      <alignment horizontal="center" vertical="center"/>
      <protection hidden="1"/>
    </xf>
    <xf numFmtId="0" fontId="25" fillId="0" borderId="27" xfId="5" applyFont="1" applyBorder="1" applyAlignment="1" applyProtection="1">
      <alignment horizontal="center" vertical="center"/>
      <protection hidden="1"/>
    </xf>
    <xf numFmtId="0" fontId="26" fillId="0" borderId="21" xfId="5" applyFont="1" applyBorder="1" applyAlignment="1" applyProtection="1">
      <alignment horizontal="left" vertical="center" indent="1"/>
      <protection hidden="1"/>
    </xf>
    <xf numFmtId="166" fontId="18" fillId="0" borderId="21" xfId="5" applyNumberFormat="1" applyFont="1" applyBorder="1" applyProtection="1">
      <protection hidden="1"/>
    </xf>
    <xf numFmtId="166" fontId="18" fillId="0" borderId="0" xfId="5" applyNumberFormat="1" applyFont="1" applyProtection="1">
      <protection hidden="1"/>
    </xf>
    <xf numFmtId="37" fontId="18" fillId="0" borderId="27" xfId="5" applyNumberFormat="1" applyFont="1" applyBorder="1" applyAlignment="1" applyProtection="1">
      <alignment horizontal="center"/>
      <protection hidden="1"/>
    </xf>
    <xf numFmtId="0" fontId="18" fillId="0" borderId="0" xfId="5" applyFont="1" applyAlignment="1" applyProtection="1">
      <alignment horizontal="center"/>
      <protection hidden="1"/>
    </xf>
    <xf numFmtId="0" fontId="18" fillId="0" borderId="24" xfId="5" applyFont="1" applyBorder="1" applyAlignment="1" applyProtection="1">
      <alignment horizontal="center"/>
      <protection hidden="1"/>
    </xf>
    <xf numFmtId="0" fontId="18" fillId="0" borderId="21" xfId="5" applyFont="1" applyBorder="1" applyAlignment="1" applyProtection="1">
      <alignment horizontal="left" indent="1"/>
      <protection hidden="1"/>
    </xf>
    <xf numFmtId="0" fontId="18" fillId="0" borderId="0" xfId="5" applyFont="1" applyAlignment="1" applyProtection="1">
      <alignment horizontal="left" indent="1"/>
      <protection hidden="1"/>
    </xf>
    <xf numFmtId="3" fontId="18" fillId="0" borderId="27" xfId="5" applyNumberFormat="1" applyFont="1" applyBorder="1" applyAlignment="1" applyProtection="1">
      <alignment horizontal="center"/>
      <protection hidden="1"/>
    </xf>
    <xf numFmtId="49" fontId="18" fillId="0" borderId="21" xfId="5" applyNumberFormat="1" applyFont="1" applyBorder="1" applyAlignment="1" applyProtection="1">
      <alignment horizontal="left" indent="1"/>
      <protection hidden="1"/>
    </xf>
    <xf numFmtId="49" fontId="18" fillId="0" borderId="0" xfId="5" applyNumberFormat="1" applyFont="1" applyAlignment="1" applyProtection="1">
      <alignment horizontal="left" indent="1"/>
      <protection hidden="1"/>
    </xf>
    <xf numFmtId="3" fontId="18" fillId="0" borderId="24" xfId="5" applyNumberFormat="1" applyFont="1" applyBorder="1" applyAlignment="1" applyProtection="1">
      <alignment horizontal="center"/>
      <protection hidden="1"/>
    </xf>
    <xf numFmtId="3" fontId="18" fillId="0" borderId="25" xfId="5" applyNumberFormat="1" applyFont="1" applyBorder="1" applyAlignment="1" applyProtection="1">
      <alignment horizontal="center"/>
      <protection hidden="1"/>
    </xf>
    <xf numFmtId="0" fontId="31" fillId="0" borderId="0" xfId="5" applyFont="1" applyProtection="1">
      <protection hidden="1"/>
    </xf>
    <xf numFmtId="0" fontId="32" fillId="0" borderId="0" xfId="5" applyFont="1" applyProtection="1">
      <protection hidden="1"/>
    </xf>
    <xf numFmtId="0" fontId="32" fillId="0" borderId="0" xfId="5" applyFont="1" applyAlignment="1" applyProtection="1">
      <alignment horizontal="center"/>
      <protection hidden="1"/>
    </xf>
    <xf numFmtId="0" fontId="33" fillId="0" borderId="0" xfId="5" applyFont="1" applyAlignment="1" applyProtection="1">
      <alignment horizontal="center"/>
      <protection hidden="1"/>
    </xf>
    <xf numFmtId="0" fontId="34" fillId="0" borderId="0" xfId="5" applyFont="1" applyProtection="1">
      <protection hidden="1"/>
    </xf>
    <xf numFmtId="0" fontId="34" fillId="0" borderId="0" xfId="5" applyFont="1" applyAlignment="1" applyProtection="1">
      <alignment horizontal="center"/>
      <protection hidden="1"/>
    </xf>
    <xf numFmtId="0" fontId="34" fillId="0" borderId="0" xfId="5" applyFont="1" applyAlignment="1" applyProtection="1">
      <alignment horizontal="left"/>
      <protection hidden="1"/>
    </xf>
    <xf numFmtId="0" fontId="35" fillId="0" borderId="0" xfId="5" applyFont="1" applyAlignment="1" applyProtection="1">
      <alignment horizontal="center"/>
      <protection hidden="1"/>
    </xf>
    <xf numFmtId="173" fontId="34" fillId="0" borderId="0" xfId="5" applyNumberFormat="1" applyFont="1" applyAlignment="1" applyProtection="1">
      <alignment horizontal="left"/>
      <protection hidden="1"/>
    </xf>
    <xf numFmtId="173" fontId="34" fillId="0" borderId="0" xfId="5" applyNumberFormat="1" applyFont="1" applyAlignment="1" applyProtection="1">
      <alignment horizontal="center"/>
      <protection hidden="1"/>
    </xf>
    <xf numFmtId="173" fontId="34" fillId="0" borderId="0" xfId="1" applyNumberFormat="1" applyFont="1" applyBorder="1" applyAlignment="1" applyProtection="1">
      <alignment horizontal="center"/>
      <protection hidden="1"/>
    </xf>
    <xf numFmtId="0" fontId="36" fillId="0" borderId="0" xfId="5" applyFont="1" applyAlignment="1" applyProtection="1">
      <alignment horizontal="left"/>
      <protection hidden="1"/>
    </xf>
    <xf numFmtId="1" fontId="36" fillId="0" borderId="0" xfId="5" applyNumberFormat="1" applyFont="1" applyAlignment="1" applyProtection="1">
      <alignment horizontal="center"/>
      <protection hidden="1"/>
    </xf>
    <xf numFmtId="1" fontId="36" fillId="0" borderId="0" xfId="1" applyNumberFormat="1" applyFont="1" applyBorder="1" applyAlignment="1" applyProtection="1">
      <alignment horizontal="center"/>
      <protection hidden="1"/>
    </xf>
    <xf numFmtId="0" fontId="34" fillId="0" borderId="0" xfId="1" applyNumberFormat="1" applyFont="1" applyBorder="1" applyProtection="1">
      <protection hidden="1"/>
    </xf>
    <xf numFmtId="166" fontId="34" fillId="0" borderId="0" xfId="1" applyNumberFormat="1" applyFont="1" applyBorder="1" applyProtection="1">
      <protection hidden="1"/>
    </xf>
    <xf numFmtId="166" fontId="34" fillId="0" borderId="0" xfId="1" applyNumberFormat="1" applyFont="1" applyBorder="1" applyAlignment="1" applyProtection="1">
      <alignment horizontal="center"/>
      <protection hidden="1"/>
    </xf>
    <xf numFmtId="0" fontId="33" fillId="0" borderId="0" xfId="5" applyFont="1" applyAlignment="1" applyProtection="1">
      <alignment horizontal="left"/>
      <protection hidden="1"/>
    </xf>
    <xf numFmtId="0" fontId="36" fillId="0" borderId="0" xfId="1" applyNumberFormat="1" applyFont="1" applyBorder="1" applyProtection="1">
      <protection hidden="1"/>
    </xf>
    <xf numFmtId="166" fontId="36" fillId="0" borderId="0" xfId="1" applyNumberFormat="1" applyFont="1" applyBorder="1" applyProtection="1">
      <protection hidden="1"/>
    </xf>
    <xf numFmtId="166" fontId="36" fillId="0" borderId="0" xfId="1" applyNumberFormat="1" applyFont="1" applyBorder="1" applyAlignment="1" applyProtection="1">
      <alignment horizontal="center"/>
      <protection hidden="1"/>
    </xf>
    <xf numFmtId="0" fontId="33" fillId="0" borderId="0" xfId="1" applyNumberFormat="1" applyFont="1" applyBorder="1" applyAlignment="1" applyProtection="1">
      <alignment horizontal="left"/>
      <protection hidden="1"/>
    </xf>
    <xf numFmtId="166" fontId="36" fillId="0" borderId="0" xfId="1" applyNumberFormat="1" applyFont="1" applyFill="1" applyBorder="1" applyProtection="1">
      <protection hidden="1"/>
    </xf>
    <xf numFmtId="166" fontId="30" fillId="0" borderId="0" xfId="1" applyNumberFormat="1" applyFont="1" applyBorder="1" applyAlignment="1" applyProtection="1">
      <alignment horizontal="center"/>
      <protection hidden="1"/>
    </xf>
    <xf numFmtId="0" fontId="34" fillId="0" borderId="0" xfId="1" applyNumberFormat="1" applyFont="1" applyBorder="1" applyAlignment="1" applyProtection="1">
      <alignment horizontal="left"/>
      <protection hidden="1"/>
    </xf>
    <xf numFmtId="3" fontId="34" fillId="0" borderId="0" xfId="5" applyNumberFormat="1" applyFont="1" applyAlignment="1" applyProtection="1">
      <alignment horizontal="center"/>
      <protection hidden="1"/>
    </xf>
    <xf numFmtId="3" fontId="34" fillId="0" borderId="0" xfId="1" applyNumberFormat="1" applyFont="1" applyBorder="1" applyAlignment="1" applyProtection="1">
      <alignment horizontal="center"/>
      <protection hidden="1"/>
    </xf>
    <xf numFmtId="0" fontId="36" fillId="0" borderId="0" xfId="5" applyFont="1" applyProtection="1">
      <protection hidden="1"/>
    </xf>
    <xf numFmtId="0" fontId="36" fillId="0" borderId="0" xfId="5" applyFont="1" applyAlignment="1" applyProtection="1">
      <alignment horizontal="center"/>
      <protection hidden="1"/>
    </xf>
    <xf numFmtId="166" fontId="34" fillId="0" borderId="0" xfId="1" applyNumberFormat="1" applyFont="1" applyFill="1" applyBorder="1" applyProtection="1">
      <protection hidden="1"/>
    </xf>
    <xf numFmtId="0" fontId="36" fillId="0" borderId="0" xfId="1" applyNumberFormat="1" applyFont="1" applyBorder="1" applyAlignment="1" applyProtection="1">
      <alignment horizontal="left"/>
      <protection hidden="1"/>
    </xf>
    <xf numFmtId="0" fontId="36" fillId="0" borderId="0" xfId="1" applyNumberFormat="1" applyFont="1" applyBorder="1" applyAlignment="1" applyProtection="1">
      <alignment horizontal="center"/>
      <protection hidden="1"/>
    </xf>
    <xf numFmtId="0" fontId="33" fillId="0" borderId="0" xfId="1" applyNumberFormat="1" applyFont="1" applyBorder="1" applyAlignment="1" applyProtection="1">
      <alignment horizontal="center"/>
      <protection hidden="1"/>
    </xf>
    <xf numFmtId="0" fontId="36" fillId="0" borderId="0" xfId="1" applyNumberFormat="1" applyFont="1" applyFill="1" applyBorder="1" applyAlignment="1" applyProtection="1">
      <alignment horizontal="center"/>
      <protection hidden="1"/>
    </xf>
    <xf numFmtId="0" fontId="34" fillId="0" borderId="0" xfId="4" applyNumberFormat="1" applyFont="1" applyBorder="1" applyProtection="1">
      <protection hidden="1"/>
    </xf>
    <xf numFmtId="167" fontId="34" fillId="0" borderId="0" xfId="4" applyNumberFormat="1" applyFont="1" applyBorder="1" applyProtection="1">
      <protection hidden="1"/>
    </xf>
    <xf numFmtId="167" fontId="34" fillId="0" borderId="0" xfId="4" applyNumberFormat="1" applyFont="1" applyBorder="1" applyAlignment="1" applyProtection="1">
      <alignment horizontal="center"/>
      <protection hidden="1"/>
    </xf>
    <xf numFmtId="167" fontId="34" fillId="0" borderId="0" xfId="4" applyNumberFormat="1" applyFont="1" applyFill="1" applyBorder="1" applyProtection="1">
      <protection hidden="1"/>
    </xf>
    <xf numFmtId="166" fontId="36" fillId="0" borderId="0" xfId="1" applyNumberFormat="1" applyFont="1" applyBorder="1" applyAlignment="1" applyProtection="1">
      <alignment horizontal="right"/>
      <protection hidden="1"/>
    </xf>
    <xf numFmtId="166" fontId="34" fillId="0" borderId="0" xfId="1" applyNumberFormat="1" applyFont="1" applyBorder="1" applyAlignment="1" applyProtection="1">
      <alignment horizontal="right"/>
      <protection hidden="1"/>
    </xf>
    <xf numFmtId="49" fontId="34" fillId="0" borderId="0" xfId="1" applyNumberFormat="1" applyFont="1" applyBorder="1" applyProtection="1">
      <protection hidden="1"/>
    </xf>
    <xf numFmtId="49" fontId="34" fillId="0" borderId="0" xfId="5" applyNumberFormat="1" applyFont="1" applyAlignment="1" applyProtection="1">
      <alignment horizontal="left"/>
      <protection hidden="1"/>
    </xf>
    <xf numFmtId="49" fontId="34" fillId="0" borderId="0" xfId="5" applyNumberFormat="1" applyFont="1" applyProtection="1">
      <protection hidden="1"/>
    </xf>
    <xf numFmtId="172" fontId="34" fillId="0" borderId="0" xfId="1" applyNumberFormat="1" applyFont="1" applyBorder="1" applyAlignment="1" applyProtection="1">
      <alignment horizontal="center"/>
      <protection hidden="1"/>
    </xf>
    <xf numFmtId="0" fontId="29" fillId="0" borderId="0" xfId="5" applyFont="1" applyAlignment="1" applyProtection="1">
      <alignment horizontal="center"/>
      <protection hidden="1"/>
    </xf>
    <xf numFmtId="169" fontId="6" fillId="0" borderId="0" xfId="0" applyNumberFormat="1" applyFont="1" applyProtection="1">
      <protection hidden="1"/>
    </xf>
    <xf numFmtId="165" fontId="6" fillId="5" borderId="9" xfId="0" applyNumberFormat="1" applyFont="1" applyFill="1" applyBorder="1" applyAlignment="1" applyProtection="1">
      <alignment horizontal="center"/>
      <protection hidden="1"/>
    </xf>
    <xf numFmtId="165" fontId="6" fillId="5" borderId="10" xfId="0" applyNumberFormat="1" applyFont="1" applyFill="1" applyBorder="1" applyAlignment="1" applyProtection="1">
      <alignment horizontal="center"/>
      <protection hidden="1"/>
    </xf>
    <xf numFmtId="0" fontId="6" fillId="4" borderId="1" xfId="0" applyFont="1" applyFill="1" applyBorder="1" applyProtection="1">
      <protection hidden="1"/>
    </xf>
    <xf numFmtId="0" fontId="18" fillId="0" borderId="23" xfId="5" applyFont="1" applyBorder="1" applyAlignment="1" applyProtection="1">
      <alignment horizontal="center"/>
      <protection hidden="1"/>
    </xf>
    <xf numFmtId="0" fontId="18" fillId="0" borderId="24" xfId="5" applyFont="1" applyBorder="1" applyAlignment="1" applyProtection="1">
      <alignment horizontal="center"/>
      <protection hidden="1"/>
    </xf>
    <xf numFmtId="0" fontId="18" fillId="0" borderId="25" xfId="5" applyFont="1" applyBorder="1" applyAlignment="1" applyProtection="1">
      <alignment horizontal="center"/>
      <protection hidden="1"/>
    </xf>
    <xf numFmtId="166" fontId="34" fillId="0" borderId="0" xfId="1" applyNumberFormat="1" applyFont="1" applyFill="1" applyBorder="1" applyAlignment="1" applyProtection="1">
      <alignment horizontal="center"/>
      <protection hidden="1"/>
    </xf>
    <xf numFmtId="0" fontId="34" fillId="0" borderId="0" xfId="5" applyFont="1" applyAlignment="1" applyProtection="1">
      <alignment horizontal="center"/>
      <protection hidden="1"/>
    </xf>
    <xf numFmtId="173" fontId="34" fillId="0" borderId="0" xfId="5" applyNumberFormat="1" applyFont="1" applyAlignment="1" applyProtection="1">
      <alignment horizontal="center"/>
      <protection hidden="1"/>
    </xf>
    <xf numFmtId="166" fontId="34" fillId="0" borderId="0" xfId="1" applyNumberFormat="1" applyFont="1" applyBorder="1" applyAlignment="1" applyProtection="1">
      <alignment horizontal="center"/>
      <protection hidden="1"/>
    </xf>
    <xf numFmtId="0" fontId="26" fillId="0" borderId="21" xfId="5" applyFont="1" applyBorder="1" applyAlignment="1" applyProtection="1">
      <alignment horizontal="center"/>
      <protection hidden="1"/>
    </xf>
    <xf numFmtId="0" fontId="26" fillId="0" borderId="0" xfId="5" applyFont="1" applyAlignment="1" applyProtection="1">
      <alignment horizontal="center"/>
      <protection hidden="1"/>
    </xf>
    <xf numFmtId="3" fontId="26" fillId="0" borderId="0" xfId="5" applyNumberFormat="1" applyFont="1" applyAlignment="1" applyProtection="1">
      <alignment horizontal="center"/>
      <protection hidden="1"/>
    </xf>
    <xf numFmtId="0" fontId="26" fillId="0" borderId="27" xfId="5" applyFont="1" applyBorder="1" applyAlignment="1" applyProtection="1">
      <alignment horizontal="center"/>
      <protection hidden="1"/>
    </xf>
    <xf numFmtId="3" fontId="28" fillId="0" borderId="21" xfId="5" applyNumberFormat="1" applyFont="1" applyBorder="1" applyAlignment="1" applyProtection="1">
      <alignment horizontal="center"/>
      <protection hidden="1"/>
    </xf>
    <xf numFmtId="0" fontId="28" fillId="0" borderId="0" xfId="5" applyFont="1" applyAlignment="1" applyProtection="1">
      <alignment horizontal="center"/>
      <protection hidden="1"/>
    </xf>
    <xf numFmtId="3" fontId="28" fillId="0" borderId="0" xfId="5" applyNumberFormat="1" applyFont="1" applyAlignment="1" applyProtection="1">
      <alignment horizontal="center"/>
      <protection hidden="1"/>
    </xf>
    <xf numFmtId="0" fontId="28" fillId="0" borderId="27" xfId="5" applyFont="1" applyBorder="1" applyAlignment="1" applyProtection="1">
      <alignment horizontal="center"/>
      <protection hidden="1"/>
    </xf>
    <xf numFmtId="0" fontId="18" fillId="0" borderId="17" xfId="5" applyFont="1" applyBorder="1" applyAlignment="1" applyProtection="1">
      <alignment horizontal="center" vertical="center"/>
      <protection hidden="1"/>
    </xf>
    <xf numFmtId="0" fontId="18" fillId="0" borderId="22" xfId="5" applyFont="1" applyBorder="1" applyAlignment="1" applyProtection="1">
      <alignment horizontal="center" vertical="center"/>
      <protection hidden="1"/>
    </xf>
    <xf numFmtId="0" fontId="18" fillId="0" borderId="26" xfId="5" applyFont="1" applyBorder="1" applyAlignment="1" applyProtection="1">
      <alignment horizontal="center" vertical="center"/>
      <protection hidden="1"/>
    </xf>
    <xf numFmtId="0" fontId="19" fillId="0" borderId="19" xfId="5" applyFont="1" applyBorder="1" applyAlignment="1" applyProtection="1">
      <alignment horizontal="center" vertical="center"/>
      <protection hidden="1"/>
    </xf>
    <xf numFmtId="0" fontId="19" fillId="0" borderId="20" xfId="5" applyFont="1" applyBorder="1" applyAlignment="1" applyProtection="1">
      <alignment horizontal="center" vertical="center"/>
      <protection hidden="1"/>
    </xf>
    <xf numFmtId="0" fontId="19" fillId="0" borderId="0" xfId="5" applyFont="1" applyAlignment="1" applyProtection="1">
      <alignment horizontal="center" vertical="center"/>
      <protection hidden="1"/>
    </xf>
    <xf numFmtId="0" fontId="19" fillId="0" borderId="27" xfId="5" applyFont="1" applyBorder="1" applyAlignment="1" applyProtection="1">
      <alignment horizontal="center" vertical="center"/>
      <protection hidden="1"/>
    </xf>
    <xf numFmtId="0" fontId="19" fillId="0" borderId="24" xfId="5" applyFont="1" applyBorder="1" applyAlignment="1" applyProtection="1">
      <alignment horizontal="center" vertical="center"/>
      <protection hidden="1"/>
    </xf>
    <xf numFmtId="0" fontId="19" fillId="0" borderId="25" xfId="5" applyFont="1" applyBorder="1" applyAlignment="1" applyProtection="1">
      <alignment horizontal="center" vertical="center"/>
      <protection hidden="1"/>
    </xf>
    <xf numFmtId="0" fontId="22" fillId="0" borderId="18" xfId="5" applyFont="1" applyBorder="1" applyAlignment="1" applyProtection="1">
      <alignment horizontal="center" vertical="center"/>
      <protection hidden="1"/>
    </xf>
    <xf numFmtId="0" fontId="22" fillId="0" borderId="19" xfId="5" applyFont="1" applyBorder="1" applyAlignment="1" applyProtection="1">
      <alignment horizontal="center" vertical="center"/>
      <protection hidden="1"/>
    </xf>
    <xf numFmtId="0" fontId="22" fillId="0" borderId="20" xfId="5" applyFont="1" applyBorder="1" applyAlignment="1" applyProtection="1">
      <alignment horizontal="center" vertical="center"/>
      <protection hidden="1"/>
    </xf>
    <xf numFmtId="0" fontId="22" fillId="0" borderId="21" xfId="5" applyFont="1" applyBorder="1" applyAlignment="1" applyProtection="1">
      <alignment horizontal="center" vertical="center"/>
      <protection hidden="1"/>
    </xf>
    <xf numFmtId="0" fontId="22" fillId="0" borderId="0" xfId="5" applyFont="1" applyAlignment="1" applyProtection="1">
      <alignment horizontal="center" vertical="center"/>
      <protection hidden="1"/>
    </xf>
    <xf numFmtId="0" fontId="22" fillId="0" borderId="27" xfId="5" applyFont="1" applyBorder="1" applyAlignment="1" applyProtection="1">
      <alignment horizontal="center" vertical="center"/>
      <protection hidden="1"/>
    </xf>
    <xf numFmtId="0" fontId="18" fillId="0" borderId="9" xfId="5" applyFont="1" applyBorder="1" applyAlignment="1" applyProtection="1">
      <alignment horizontal="center" vertical="center"/>
      <protection hidden="1"/>
    </xf>
    <xf numFmtId="0" fontId="18" fillId="0" borderId="7" xfId="5" applyFont="1" applyBorder="1" applyAlignment="1" applyProtection="1">
      <alignment horizontal="center" vertical="center"/>
      <protection hidden="1"/>
    </xf>
    <xf numFmtId="0" fontId="18" fillId="0" borderId="10" xfId="5" applyFont="1" applyBorder="1" applyAlignment="1" applyProtection="1">
      <alignment horizontal="center" vertical="center"/>
      <protection hidden="1"/>
    </xf>
    <xf numFmtId="0" fontId="22" fillId="0" borderId="18" xfId="5" applyFont="1" applyBorder="1" applyAlignment="1" applyProtection="1">
      <alignment horizontal="center" vertical="center" wrapText="1"/>
      <protection hidden="1"/>
    </xf>
    <xf numFmtId="0" fontId="22" fillId="0" borderId="19" xfId="5" applyFont="1" applyBorder="1" applyAlignment="1" applyProtection="1">
      <alignment horizontal="center" vertical="center" wrapText="1"/>
      <protection hidden="1"/>
    </xf>
    <xf numFmtId="0" fontId="22" fillId="0" borderId="20" xfId="5" applyFont="1" applyBorder="1" applyAlignment="1" applyProtection="1">
      <alignment horizontal="center" vertical="center" wrapText="1"/>
      <protection hidden="1"/>
    </xf>
    <xf numFmtId="0" fontId="22" fillId="0" borderId="23" xfId="5" applyFont="1" applyBorder="1" applyAlignment="1" applyProtection="1">
      <alignment horizontal="center" vertical="center" wrapText="1"/>
      <protection hidden="1"/>
    </xf>
    <xf numFmtId="0" fontId="22" fillId="0" borderId="24" xfId="5" applyFont="1" applyBorder="1" applyAlignment="1" applyProtection="1">
      <alignment horizontal="center" vertical="center" wrapText="1"/>
      <protection hidden="1"/>
    </xf>
    <xf numFmtId="0" fontId="22" fillId="0" borderId="25" xfId="5" applyFont="1" applyBorder="1" applyAlignment="1" applyProtection="1">
      <alignment horizontal="center" vertical="center" wrapText="1"/>
      <protection hidden="1"/>
    </xf>
    <xf numFmtId="0" fontId="23" fillId="0" borderId="18" xfId="5" applyFont="1" applyBorder="1" applyAlignment="1" applyProtection="1">
      <alignment horizontal="center" vertical="center"/>
      <protection hidden="1"/>
    </xf>
    <xf numFmtId="0" fontId="23" fillId="0" borderId="19" xfId="5" applyFont="1" applyBorder="1" applyAlignment="1" applyProtection="1">
      <alignment horizontal="center" vertical="center"/>
      <protection hidden="1"/>
    </xf>
    <xf numFmtId="0" fontId="23" fillId="0" borderId="20" xfId="5" applyFont="1" applyBorder="1" applyAlignment="1" applyProtection="1">
      <alignment horizontal="center" vertical="center"/>
      <protection hidden="1"/>
    </xf>
    <xf numFmtId="0" fontId="23" fillId="0" borderId="23" xfId="5" applyFont="1" applyBorder="1" applyAlignment="1" applyProtection="1">
      <alignment horizontal="center" vertical="center"/>
      <protection hidden="1"/>
    </xf>
    <xf numFmtId="0" fontId="23" fillId="0" borderId="24" xfId="5" applyFont="1" applyBorder="1" applyAlignment="1" applyProtection="1">
      <alignment horizontal="center" vertical="center"/>
      <protection hidden="1"/>
    </xf>
    <xf numFmtId="0" fontId="23" fillId="0" borderId="25" xfId="5" applyFont="1" applyBorder="1" applyAlignment="1" applyProtection="1">
      <alignment horizontal="center" vertical="center"/>
      <protection hidden="1"/>
    </xf>
    <xf numFmtId="0" fontId="18" fillId="0" borderId="19" xfId="5" applyFont="1" applyBorder="1" applyAlignment="1" applyProtection="1">
      <alignment horizontal="center" vertical="center"/>
      <protection hidden="1"/>
    </xf>
    <xf numFmtId="0" fontId="18" fillId="0" borderId="20" xfId="5" applyFont="1" applyBorder="1" applyAlignment="1" applyProtection="1">
      <alignment horizontal="center" vertical="center"/>
      <protection hidden="1"/>
    </xf>
    <xf numFmtId="0" fontId="18" fillId="0" borderId="0" xfId="5" applyFont="1" applyAlignment="1" applyProtection="1">
      <alignment horizontal="center" vertical="center"/>
      <protection hidden="1"/>
    </xf>
    <xf numFmtId="0" fontId="18" fillId="0" borderId="27" xfId="5" applyFont="1" applyBorder="1" applyAlignment="1" applyProtection="1">
      <alignment horizontal="center" vertical="center"/>
      <protection hidden="1"/>
    </xf>
    <xf numFmtId="0" fontId="18" fillId="0" borderId="18" xfId="5" applyFont="1" applyBorder="1" applyAlignment="1" applyProtection="1">
      <alignment horizontal="center"/>
      <protection hidden="1"/>
    </xf>
    <xf numFmtId="0" fontId="18" fillId="0" borderId="20" xfId="5" applyFont="1" applyBorder="1" applyAlignment="1" applyProtection="1">
      <alignment horizontal="center"/>
      <protection hidden="1"/>
    </xf>
    <xf numFmtId="0" fontId="18" fillId="0" borderId="21" xfId="5" applyFont="1" applyBorder="1" applyAlignment="1" applyProtection="1">
      <alignment horizontal="center"/>
      <protection hidden="1"/>
    </xf>
    <xf numFmtId="0" fontId="18" fillId="0" borderId="27" xfId="5" applyFont="1" applyBorder="1" applyAlignment="1" applyProtection="1">
      <alignment horizontal="center"/>
      <protection hidden="1"/>
    </xf>
    <xf numFmtId="0" fontId="4" fillId="0" borderId="18" xfId="5" applyFont="1" applyBorder="1" applyAlignment="1" applyProtection="1">
      <alignment horizontal="center" vertical="center" wrapText="1"/>
      <protection hidden="1"/>
    </xf>
    <xf numFmtId="0" fontId="4" fillId="0" borderId="20" xfId="5" applyFont="1" applyBorder="1" applyAlignment="1" applyProtection="1">
      <alignment horizontal="center" vertical="center" wrapText="1"/>
      <protection hidden="1"/>
    </xf>
    <xf numFmtId="0" fontId="4" fillId="0" borderId="21" xfId="5" applyFont="1" applyBorder="1" applyAlignment="1" applyProtection="1">
      <alignment horizontal="center" vertical="center" wrapText="1"/>
      <protection hidden="1"/>
    </xf>
    <xf numFmtId="0" fontId="4" fillId="0" borderId="27" xfId="5" applyFont="1" applyBorder="1" applyAlignment="1" applyProtection="1">
      <alignment horizontal="center" vertical="center" wrapText="1"/>
      <protection hidden="1"/>
    </xf>
    <xf numFmtId="0" fontId="4" fillId="0" borderId="23" xfId="5" applyFont="1" applyBorder="1" applyAlignment="1" applyProtection="1">
      <alignment horizontal="center" vertical="center" wrapText="1"/>
      <protection hidden="1"/>
    </xf>
    <xf numFmtId="0" fontId="4" fillId="0" borderId="25" xfId="5" applyFont="1" applyBorder="1" applyAlignment="1" applyProtection="1">
      <alignment horizontal="center" vertical="center" wrapText="1"/>
      <protection hidden="1"/>
    </xf>
    <xf numFmtId="0" fontId="18" fillId="0" borderId="18" xfId="5" applyFont="1" applyBorder="1" applyAlignment="1" applyProtection="1">
      <alignment horizontal="center" vertical="center"/>
      <protection hidden="1"/>
    </xf>
    <xf numFmtId="0" fontId="18" fillId="0" borderId="21" xfId="5" applyFont="1" applyBorder="1" applyAlignment="1" applyProtection="1">
      <alignment horizontal="center" vertical="center"/>
      <protection hidden="1"/>
    </xf>
    <xf numFmtId="0" fontId="18" fillId="0" borderId="23" xfId="5" applyFont="1" applyBorder="1" applyAlignment="1" applyProtection="1">
      <alignment horizontal="center" vertical="center"/>
      <protection hidden="1"/>
    </xf>
    <xf numFmtId="0" fontId="18" fillId="0" borderId="24" xfId="5" applyFont="1" applyBorder="1" applyAlignment="1" applyProtection="1">
      <alignment horizontal="center" vertical="center"/>
      <protection hidden="1"/>
    </xf>
    <xf numFmtId="0" fontId="18" fillId="0" borderId="25" xfId="5" applyFont="1" applyBorder="1" applyAlignment="1" applyProtection="1">
      <alignment horizontal="center" vertical="center"/>
      <protection hidden="1"/>
    </xf>
    <xf numFmtId="0" fontId="23" fillId="0" borderId="21" xfId="5" applyFont="1" applyBorder="1" applyAlignment="1" applyProtection="1">
      <alignment horizontal="center" vertical="center"/>
      <protection hidden="1"/>
    </xf>
    <xf numFmtId="0" fontId="23" fillId="0" borderId="27" xfId="5" applyFont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center" vertical="center"/>
      <protection hidden="1"/>
    </xf>
    <xf numFmtId="3" fontId="27" fillId="0" borderId="18" xfId="5" applyNumberFormat="1" applyFont="1" applyBorder="1" applyAlignment="1" applyProtection="1">
      <alignment horizontal="center" vertical="center"/>
      <protection hidden="1"/>
    </xf>
    <xf numFmtId="3" fontId="27" fillId="0" borderId="20" xfId="5" applyNumberFormat="1" applyFont="1" applyBorder="1" applyAlignment="1" applyProtection="1">
      <alignment horizontal="center" vertical="center"/>
      <protection hidden="1"/>
    </xf>
    <xf numFmtId="3" fontId="27" fillId="0" borderId="23" xfId="5" applyNumberFormat="1" applyFont="1" applyBorder="1" applyAlignment="1" applyProtection="1">
      <alignment horizontal="center" vertical="center"/>
      <protection hidden="1"/>
    </xf>
    <xf numFmtId="3" fontId="27" fillId="0" borderId="25" xfId="5" applyNumberFormat="1" applyFont="1" applyBorder="1" applyAlignment="1" applyProtection="1">
      <alignment horizontal="center" vertical="center"/>
      <protection hidden="1"/>
    </xf>
    <xf numFmtId="166" fontId="5" fillId="5" borderId="9" xfId="1" applyNumberFormat="1" applyFont="1" applyFill="1" applyBorder="1" applyAlignment="1" applyProtection="1">
      <alignment horizontal="center" vertical="center"/>
      <protection hidden="1"/>
    </xf>
    <xf numFmtId="166" fontId="5" fillId="5" borderId="7" xfId="1" applyNumberFormat="1" applyFont="1" applyFill="1" applyBorder="1" applyAlignment="1" applyProtection="1">
      <alignment horizontal="center" vertical="center"/>
      <protection hidden="1"/>
    </xf>
    <xf numFmtId="166" fontId="5" fillId="5" borderId="10" xfId="1" applyNumberFormat="1" applyFont="1" applyFill="1" applyBorder="1" applyAlignment="1" applyProtection="1">
      <alignment horizontal="center" vertical="center"/>
      <protection hidden="1"/>
    </xf>
  </cellXfs>
  <cellStyles count="6">
    <cellStyle name="Comma" xfId="1" builtinId="3"/>
    <cellStyle name="Input" xfId="2" builtinId="20" customBuiltin="1"/>
    <cellStyle name="Normal" xfId="0" builtinId="0" customBuiltin="1"/>
    <cellStyle name="Normal 2" xfId="5" xr:uid="{8920697B-0F0F-4326-B3AD-97097302C9CA}"/>
    <cellStyle name="Output" xfId="3" builtinId="21" customBuiltin="1"/>
    <cellStyle name="Percent" xfId="4" builtinId="5"/>
  </cellStyles>
  <dxfs count="13"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strRef>
          <c:f>Dashboard!$A$62</c:f>
          <c:strCache>
            <c:ptCount val="1"/>
            <c:pt idx="0">
              <c:v>Turnover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9177109440267336E-2"/>
          <c:y val="0.15828888888888887"/>
          <c:w val="0.81256808688387638"/>
          <c:h val="0.71662905982905978"/>
        </c:manualLayout>
      </c:layout>
      <c:barChart>
        <c:barDir val="col"/>
        <c:grouping val="clustered"/>
        <c:varyColors val="0"/>
        <c:ser>
          <c:idx val="0"/>
          <c:order val="0"/>
          <c:tx>
            <c:v>Actual</c:v>
          </c:tx>
          <c:spPr>
            <a:gradFill rotWithShape="1">
              <a:gsLst>
                <a:gs pos="0">
                  <a:schemeClr val="accent3">
                    <a:tint val="80000"/>
                    <a:lumMod val="105000"/>
                  </a:schemeClr>
                </a:gs>
                <a:gs pos="100000">
                  <a:schemeClr val="accent3">
                    <a:tint val="90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Dashboard!$D$60:$P$60</c:f>
              <c:numCache>
                <c:formatCode>mmm/yyyy</c:formatCode>
                <c:ptCount val="13"/>
                <c:pt idx="0">
                  <c:v>45747</c:v>
                </c:pt>
                <c:pt idx="1">
                  <c:v>45777</c:v>
                </c:pt>
                <c:pt idx="2">
                  <c:v>45808</c:v>
                </c:pt>
                <c:pt idx="3">
                  <c:v>45838</c:v>
                </c:pt>
                <c:pt idx="4">
                  <c:v>45869</c:v>
                </c:pt>
                <c:pt idx="5">
                  <c:v>45900</c:v>
                </c:pt>
                <c:pt idx="6">
                  <c:v>45930</c:v>
                </c:pt>
                <c:pt idx="7">
                  <c:v>45961</c:v>
                </c:pt>
                <c:pt idx="8">
                  <c:v>45991</c:v>
                </c:pt>
                <c:pt idx="10">
                  <c:v>46022</c:v>
                </c:pt>
                <c:pt idx="11">
                  <c:v>46053</c:v>
                </c:pt>
                <c:pt idx="12">
                  <c:v>46081</c:v>
                </c:pt>
              </c:numCache>
            </c:numRef>
          </c:cat>
          <c:val>
            <c:numRef>
              <c:f>Dashboard!$D$62:$P$62</c:f>
              <c:numCache>
                <c:formatCode>_ * #,##0_ ;_ * \-#,##0_ ;_ * "-"??_ ;_ @_ </c:formatCode>
                <c:ptCount val="13"/>
                <c:pt idx="0">
                  <c:v>-4511.679999999993</c:v>
                </c:pt>
                <c:pt idx="1">
                  <c:v>-4511.679999999993</c:v>
                </c:pt>
                <c:pt idx="2">
                  <c:v>-4511.6800000000076</c:v>
                </c:pt>
                <c:pt idx="3">
                  <c:v>-4511.6899999999878</c:v>
                </c:pt>
                <c:pt idx="4">
                  <c:v>-4511.6699999999983</c:v>
                </c:pt>
                <c:pt idx="5">
                  <c:v>-4511.6900000000023</c:v>
                </c:pt>
                <c:pt idx="6">
                  <c:v>-4511.6800000000076</c:v>
                </c:pt>
                <c:pt idx="7">
                  <c:v>-4511.6900000000023</c:v>
                </c:pt>
                <c:pt idx="8">
                  <c:v>-4511.679999999993</c:v>
                </c:pt>
                <c:pt idx="10">
                  <c:v>-4511.679999999993</c:v>
                </c:pt>
                <c:pt idx="11">
                  <c:v>-4511.6900000000023</c:v>
                </c:pt>
                <c:pt idx="12">
                  <c:v>-4511.6699999999983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75-42D7-A657-0C4C1932F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-24"/>
        <c:axId val="399210136"/>
        <c:axId val="399207840"/>
      </c:barChart>
      <c:dateAx>
        <c:axId val="399210136"/>
        <c:scaling>
          <c:orientation val="minMax"/>
        </c:scaling>
        <c:delete val="0"/>
        <c:axPos val="b"/>
        <c:numFmt formatCode="mmm/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207840"/>
        <c:crosses val="autoZero"/>
        <c:auto val="1"/>
        <c:lblOffset val="100"/>
        <c:baseTimeUnit val="months"/>
      </c:dateAx>
      <c:valAx>
        <c:axId val="39920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210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Dashboard!$A$109</c:f>
          <c:strCache>
            <c:ptCount val="1"/>
            <c:pt idx="0">
              <c:v>Debt / Equity Ratio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389770723104054"/>
          <c:y val="0.20737830687830688"/>
          <c:w val="0.65123412698412708"/>
          <c:h val="0.65123412698412708"/>
        </c:manualLayout>
      </c:layout>
      <c:doughnut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A17-4398-B316-61C778DA5553}"/>
              </c:ext>
            </c:extLst>
          </c:dPt>
          <c:dPt>
            <c:idx val="1"/>
            <c:bubble3D val="0"/>
            <c:spPr>
              <a:solidFill>
                <a:srgbClr val="2EC4B6"/>
              </a:solidFill>
              <a:ln w="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A17-4398-B316-61C778DA5553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A17-4398-B316-61C778DA5553}"/>
              </c:ext>
            </c:extLst>
          </c:dPt>
          <c:val>
            <c:numRef>
              <c:f>Dashboard!$E$109:$G$109</c:f>
              <c:numCache>
                <c:formatCode>#,##0</c:formatCode>
                <c:ptCount val="3"/>
                <c:pt idx="0">
                  <c:v>-84.33774587487558</c:v>
                </c:pt>
                <c:pt idx="1">
                  <c:v>214.33774587487557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17-4398-B316-61C778DA5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3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Dashboard!$A$111</c:f>
          <c:strCache>
            <c:ptCount val="1"/>
            <c:pt idx="0">
              <c:v>RONA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389770723104054"/>
          <c:y val="0.20737830687830688"/>
          <c:w val="0.65123412698412708"/>
          <c:h val="0.65123412698412708"/>
        </c:manualLayout>
      </c:layout>
      <c:doughnutChart>
        <c:varyColors val="1"/>
        <c:ser>
          <c:idx val="1"/>
          <c:order val="0"/>
          <c:tx>
            <c:v>RONA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D3D-4A88-AF84-523F2C53F639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D3D-4A88-AF84-523F2C53F639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D3D-4A88-AF84-523F2C53F639}"/>
              </c:ext>
            </c:extLst>
          </c:dPt>
          <c:val>
            <c:numRef>
              <c:f>Dashboard!$E$111:$G$111</c:f>
              <c:numCache>
                <c:formatCode>#,##0</c:formatCode>
                <c:ptCount val="3"/>
                <c:pt idx="0">
                  <c:v>-163.73054326105304</c:v>
                </c:pt>
                <c:pt idx="1">
                  <c:v>293.73054326105307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3D-4A88-AF84-523F2C53F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3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Dashboard!$A$66</c:f>
          <c:strCache>
            <c:ptCount val="1"/>
            <c:pt idx="0">
              <c:v>Gross Profit %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389770723104054"/>
          <c:y val="0.20737830687830688"/>
          <c:w val="0.65123412698412708"/>
          <c:h val="0.65123412698412708"/>
        </c:manualLayout>
      </c:layout>
      <c:doughnutChart>
        <c:varyColors val="1"/>
        <c:ser>
          <c:idx val="1"/>
          <c:order val="0"/>
          <c:tx>
            <c:v>Top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9E9-46B7-9DC7-0DF48ABFF0A0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9E9-46B7-9DC7-0DF48ABFF0A0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9E9-46B7-9DC7-0DF48ABFF0A0}"/>
              </c:ext>
            </c:extLst>
          </c:dPt>
          <c:val>
            <c:numRef>
              <c:f>Dashboard!$E$66:$G$66</c:f>
              <c:numCache>
                <c:formatCode>#,##0</c:formatCode>
                <c:ptCount val="3"/>
                <c:pt idx="0">
                  <c:v>342.02500851819661</c:v>
                </c:pt>
                <c:pt idx="1">
                  <c:v>-212.02500851819661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E9-46B7-9DC7-0DF48ABFF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3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Dashboard!$A$68</c:f>
          <c:strCache>
            <c:ptCount val="1"/>
            <c:pt idx="0">
              <c:v>Net Profit %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389770723104054"/>
          <c:y val="0.20737830687830688"/>
          <c:w val="0.65123412698412708"/>
          <c:h val="0.65123412698412708"/>
        </c:manualLayout>
      </c:layout>
      <c:doughnutChart>
        <c:varyColors val="1"/>
        <c:ser>
          <c:idx val="1"/>
          <c:order val="0"/>
          <c:tx>
            <c:v>Top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E07-43B2-BB42-6CF55DE1F24F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E07-43B2-BB42-6CF55DE1F24F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E07-43B2-BB42-6CF55DE1F24F}"/>
              </c:ext>
            </c:extLst>
          </c:dPt>
          <c:val>
            <c:numRef>
              <c:f>Dashboard!$E$68:$G$68</c:f>
              <c:numCache>
                <c:formatCode>#,##0</c:formatCode>
                <c:ptCount val="3"/>
                <c:pt idx="0">
                  <c:v>690.54292652844958</c:v>
                </c:pt>
                <c:pt idx="1">
                  <c:v>-560.54292652844958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07-43B2-BB42-6CF55DE1F2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3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Dashboard!$A$64</c:f>
          <c:strCache>
            <c:ptCount val="1"/>
            <c:pt idx="0">
              <c:v>Profit / (Loss) for the period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9177109440267336E-2"/>
          <c:y val="0.14044506772997317"/>
          <c:w val="0.81256808688387638"/>
          <c:h val="0.580067625317020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Dashboard!$A$64</c:f>
              <c:strCache>
                <c:ptCount val="1"/>
                <c:pt idx="0">
                  <c:v>Profit / (Loss) for the period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80000"/>
                    <a:lumMod val="105000"/>
                  </a:schemeClr>
                </a:gs>
                <a:gs pos="100000">
                  <a:schemeClr val="accent1">
                    <a:tint val="90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Dashboard!$D$60:$P$60</c:f>
              <c:numCache>
                <c:formatCode>mmm/yyyy</c:formatCode>
                <c:ptCount val="13"/>
                <c:pt idx="0">
                  <c:v>45747</c:v>
                </c:pt>
                <c:pt idx="1">
                  <c:v>45777</c:v>
                </c:pt>
                <c:pt idx="2">
                  <c:v>45808</c:v>
                </c:pt>
                <c:pt idx="3">
                  <c:v>45838</c:v>
                </c:pt>
                <c:pt idx="4">
                  <c:v>45869</c:v>
                </c:pt>
                <c:pt idx="5">
                  <c:v>45900</c:v>
                </c:pt>
                <c:pt idx="6">
                  <c:v>45930</c:v>
                </c:pt>
                <c:pt idx="7">
                  <c:v>45961</c:v>
                </c:pt>
                <c:pt idx="8">
                  <c:v>45991</c:v>
                </c:pt>
                <c:pt idx="10">
                  <c:v>46022</c:v>
                </c:pt>
                <c:pt idx="11">
                  <c:v>46053</c:v>
                </c:pt>
                <c:pt idx="12">
                  <c:v>46081</c:v>
                </c:pt>
              </c:numCache>
            </c:numRef>
          </c:cat>
          <c:val>
            <c:numRef>
              <c:f>Dashboard!$D$64:$P$64</c:f>
              <c:numCache>
                <c:formatCode>_ * #,##0_ ;_ * \-#,##0_ ;_ * "-"??_ ;_ @_ </c:formatCode>
                <c:ptCount val="13"/>
                <c:pt idx="0">
                  <c:v>-21062.739999999998</c:v>
                </c:pt>
                <c:pt idx="1">
                  <c:v>-21062.739999999998</c:v>
                </c:pt>
                <c:pt idx="2">
                  <c:v>-21062.750000000015</c:v>
                </c:pt>
                <c:pt idx="3">
                  <c:v>-21062.72999999996</c:v>
                </c:pt>
                <c:pt idx="4">
                  <c:v>-21062.620000000035</c:v>
                </c:pt>
                <c:pt idx="5">
                  <c:v>-21062.789999999972</c:v>
                </c:pt>
                <c:pt idx="6">
                  <c:v>-21062.700000000019</c:v>
                </c:pt>
                <c:pt idx="7">
                  <c:v>-21062.740000000005</c:v>
                </c:pt>
                <c:pt idx="8">
                  <c:v>-21062.709999999995</c:v>
                </c:pt>
                <c:pt idx="10">
                  <c:v>-21062.729999999974</c:v>
                </c:pt>
                <c:pt idx="11">
                  <c:v>-21062.73000000001</c:v>
                </c:pt>
                <c:pt idx="12">
                  <c:v>-21062.679999999997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E4-4C4B-BEE3-C816CAEB0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-24"/>
        <c:axId val="399210136"/>
        <c:axId val="399207840"/>
      </c:barChart>
      <c:dateAx>
        <c:axId val="399210136"/>
        <c:scaling>
          <c:orientation val="minMax"/>
        </c:scaling>
        <c:delete val="0"/>
        <c:axPos val="b"/>
        <c:numFmt formatCode="mmm/yy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207840"/>
        <c:crosses val="autoZero"/>
        <c:auto val="1"/>
        <c:lblOffset val="100"/>
        <c:baseTimeUnit val="months"/>
      </c:dateAx>
      <c:valAx>
        <c:axId val="39920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210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Dashboard!$A$70</c:f>
          <c:strCache>
            <c:ptCount val="1"/>
            <c:pt idx="0">
              <c:v>Interest Cover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389770723104054"/>
          <c:y val="0.20737830687830688"/>
          <c:w val="0.65123412698412708"/>
          <c:h val="0.65123412698412708"/>
        </c:manualLayout>
      </c:layout>
      <c:doughnut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E24-41FE-80AE-D8E7D8FE921A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E24-41FE-80AE-D8E7D8FE921A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E24-41FE-80AE-D8E7D8FE921A}"/>
              </c:ext>
            </c:extLst>
          </c:dPt>
          <c:val>
            <c:numRef>
              <c:f>Dashboard!$E$70:$G$70</c:f>
              <c:numCache>
                <c:formatCode>#,##0</c:formatCode>
                <c:ptCount val="3"/>
                <c:pt idx="0">
                  <c:v>131.02545263464032</c:v>
                </c:pt>
                <c:pt idx="1">
                  <c:v>-1.0254526346403168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24-41FE-80AE-D8E7D8FE9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3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Dashboard!$A$72</c:f>
          <c:strCache>
            <c:ptCount val="1"/>
            <c:pt idx="0">
              <c:v>ROE %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497297662444488"/>
          <c:y val="0.21539496527777779"/>
          <c:w val="0.72062434155202237"/>
          <c:h val="0.6296883680555555"/>
        </c:manualLayout>
      </c:layout>
      <c:doughnut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0E9-4B12-AF53-946F8ACB2D5F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0E9-4B12-AF53-946F8ACB2D5F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0E9-4B12-AF53-946F8ACB2D5F}"/>
              </c:ext>
            </c:extLst>
          </c:dPt>
          <c:val>
            <c:numRef>
              <c:f>Dashboard!$E$72:$G$72</c:f>
              <c:numCache>
                <c:formatCode>#,##0</c:formatCode>
                <c:ptCount val="3"/>
                <c:pt idx="0">
                  <c:v>-155.1110792538839</c:v>
                </c:pt>
                <c:pt idx="1">
                  <c:v>285.11107925388387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E9-4B12-AF53-946F8ACB2D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3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177109440267336E-2"/>
          <c:y val="6.0596581196581206E-2"/>
          <c:w val="0.85977743684018437"/>
          <c:h val="0.814321367521367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Dashboard!$A$89</c:f>
              <c:strCache>
                <c:ptCount val="1"/>
                <c:pt idx="0">
                  <c:v>Operating Expenses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80000"/>
                    <a:lumMod val="105000"/>
                  </a:schemeClr>
                </a:gs>
                <a:gs pos="100000">
                  <a:schemeClr val="accent3">
                    <a:tint val="90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Dashboard!$D$60:$P$60</c:f>
              <c:numCache>
                <c:formatCode>mmm/yyyy</c:formatCode>
                <c:ptCount val="13"/>
                <c:pt idx="0">
                  <c:v>45747</c:v>
                </c:pt>
                <c:pt idx="1">
                  <c:v>45777</c:v>
                </c:pt>
                <c:pt idx="2">
                  <c:v>45808</c:v>
                </c:pt>
                <c:pt idx="3">
                  <c:v>45838</c:v>
                </c:pt>
                <c:pt idx="4">
                  <c:v>45869</c:v>
                </c:pt>
                <c:pt idx="5">
                  <c:v>45900</c:v>
                </c:pt>
                <c:pt idx="6">
                  <c:v>45930</c:v>
                </c:pt>
                <c:pt idx="7">
                  <c:v>45961</c:v>
                </c:pt>
                <c:pt idx="8">
                  <c:v>45991</c:v>
                </c:pt>
                <c:pt idx="10">
                  <c:v>46022</c:v>
                </c:pt>
                <c:pt idx="11">
                  <c:v>46053</c:v>
                </c:pt>
                <c:pt idx="12">
                  <c:v>46081</c:v>
                </c:pt>
              </c:numCache>
            </c:numRef>
          </c:cat>
          <c:val>
            <c:numRef>
              <c:f>Dashboard!$D$89:$P$89</c:f>
              <c:numCache>
                <c:formatCode>_ * #,##0_ ;_ * \-#,##0_ ;_ * "-"??_ ;_ @_ </c:formatCode>
                <c:ptCount val="13"/>
                <c:pt idx="0">
                  <c:v>8575.8700000000063</c:v>
                </c:pt>
                <c:pt idx="1">
                  <c:v>8575.8700000000063</c:v>
                </c:pt>
                <c:pt idx="2">
                  <c:v>8575.8599999999969</c:v>
                </c:pt>
                <c:pt idx="3">
                  <c:v>8575.8499999999949</c:v>
                </c:pt>
                <c:pt idx="4">
                  <c:v>8575.7800000000025</c:v>
                </c:pt>
                <c:pt idx="5">
                  <c:v>8575.909999999998</c:v>
                </c:pt>
                <c:pt idx="6">
                  <c:v>8575.8299999999981</c:v>
                </c:pt>
                <c:pt idx="7">
                  <c:v>8575.8499999999985</c:v>
                </c:pt>
                <c:pt idx="8">
                  <c:v>8575.8599999999969</c:v>
                </c:pt>
                <c:pt idx="10">
                  <c:v>8575.8499999999985</c:v>
                </c:pt>
                <c:pt idx="11">
                  <c:v>8575.8600000000079</c:v>
                </c:pt>
                <c:pt idx="12">
                  <c:v>8575.8299999999981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F6-429C-B51E-9624E2DC79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-24"/>
        <c:axId val="399210136"/>
        <c:axId val="399207840"/>
      </c:barChart>
      <c:dateAx>
        <c:axId val="399210136"/>
        <c:scaling>
          <c:orientation val="minMax"/>
        </c:scaling>
        <c:delete val="0"/>
        <c:axPos val="b"/>
        <c:numFmt formatCode="mmm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207840"/>
        <c:crosses val="autoZero"/>
        <c:auto val="1"/>
        <c:lblOffset val="100"/>
        <c:baseTimeUnit val="months"/>
      </c:dateAx>
      <c:valAx>
        <c:axId val="39920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210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Cash Balance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9177109440267336E-2"/>
          <c:y val="0.181048835125448"/>
          <c:w val="0.81256808688387638"/>
          <c:h val="0.69386917562724015"/>
        </c:manualLayout>
      </c:layout>
      <c:barChart>
        <c:barDir val="col"/>
        <c:grouping val="clustered"/>
        <c:varyColors val="0"/>
        <c:ser>
          <c:idx val="0"/>
          <c:order val="0"/>
          <c:tx>
            <c:v>Cash Balance</c:v>
          </c:tx>
          <c:spPr>
            <a:gradFill rotWithShape="1">
              <a:gsLst>
                <a:gs pos="0">
                  <a:schemeClr val="accent3">
                    <a:tint val="80000"/>
                    <a:lumMod val="105000"/>
                  </a:schemeClr>
                </a:gs>
                <a:gs pos="100000">
                  <a:schemeClr val="accent3">
                    <a:tint val="90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Dashboard!$D$60:$P$60</c:f>
              <c:numCache>
                <c:formatCode>mmm/yyyy</c:formatCode>
                <c:ptCount val="13"/>
                <c:pt idx="0">
                  <c:v>45747</c:v>
                </c:pt>
                <c:pt idx="1">
                  <c:v>45777</c:v>
                </c:pt>
                <c:pt idx="2">
                  <c:v>45808</c:v>
                </c:pt>
                <c:pt idx="3">
                  <c:v>45838</c:v>
                </c:pt>
                <c:pt idx="4">
                  <c:v>45869</c:v>
                </c:pt>
                <c:pt idx="5">
                  <c:v>45900</c:v>
                </c:pt>
                <c:pt idx="6">
                  <c:v>45930</c:v>
                </c:pt>
                <c:pt idx="7">
                  <c:v>45961</c:v>
                </c:pt>
                <c:pt idx="8">
                  <c:v>45991</c:v>
                </c:pt>
                <c:pt idx="10">
                  <c:v>46022</c:v>
                </c:pt>
                <c:pt idx="11">
                  <c:v>46053</c:v>
                </c:pt>
                <c:pt idx="12">
                  <c:v>46081</c:v>
                </c:pt>
              </c:numCache>
            </c:numRef>
          </c:cat>
          <c:val>
            <c:numRef>
              <c:f>Dashboard!$D$91:$P$91</c:f>
              <c:numCache>
                <c:formatCode>_ * #,##0_ ;_ * \-#,##0_ ;_ * "-"??_ ;_ @_ </c:formatCode>
                <c:ptCount val="13"/>
                <c:pt idx="0">
                  <c:v>82116.459999999992</c:v>
                </c:pt>
                <c:pt idx="1">
                  <c:v>84536.67</c:v>
                </c:pt>
                <c:pt idx="2">
                  <c:v>86956.88</c:v>
                </c:pt>
                <c:pt idx="3">
                  <c:v>89377.09</c:v>
                </c:pt>
                <c:pt idx="4">
                  <c:v>91797.29</c:v>
                </c:pt>
                <c:pt idx="5">
                  <c:v>94217.500000000015</c:v>
                </c:pt>
                <c:pt idx="6">
                  <c:v>96637.709999999992</c:v>
                </c:pt>
                <c:pt idx="7">
                  <c:v>99057.91</c:v>
                </c:pt>
                <c:pt idx="8">
                  <c:v>101478.12</c:v>
                </c:pt>
                <c:pt idx="10">
                  <c:v>103898.31999999999</c:v>
                </c:pt>
                <c:pt idx="11">
                  <c:v>106318.54</c:v>
                </c:pt>
                <c:pt idx="12">
                  <c:v>108738.73000000001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8A-4B87-9F73-2A4A3DD97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-24"/>
        <c:axId val="399210136"/>
        <c:axId val="399207840"/>
      </c:barChart>
      <c:dateAx>
        <c:axId val="399210136"/>
        <c:scaling>
          <c:orientation val="minMax"/>
        </c:scaling>
        <c:delete val="0"/>
        <c:axPos val="b"/>
        <c:numFmt formatCode="mmm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207840"/>
        <c:crosses val="autoZero"/>
        <c:auto val="1"/>
        <c:lblOffset val="100"/>
        <c:baseTimeUnit val="months"/>
      </c:dateAx>
      <c:valAx>
        <c:axId val="39920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210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Dashboard!$A$107</c:f>
          <c:strCache>
            <c:ptCount val="1"/>
            <c:pt idx="0">
              <c:v>Current Ratio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389770723104054"/>
          <c:y val="0.20737830687830688"/>
          <c:w val="0.65123412698412708"/>
          <c:h val="0.65123412698412708"/>
        </c:manualLayout>
      </c:layout>
      <c:doughnutChart>
        <c:varyColors val="1"/>
        <c:ser>
          <c:idx val="1"/>
          <c:order val="0"/>
          <c:tx>
            <c:v>Current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2F6-4DAF-AED6-E9485A1B38D4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2F6-4DAF-AED6-E9485A1B38D4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2F6-4DAF-AED6-E9485A1B38D4}"/>
              </c:ext>
            </c:extLst>
          </c:dPt>
          <c:val>
            <c:numRef>
              <c:f>Dashboard!$E$107:$G$107</c:f>
              <c:numCache>
                <c:formatCode>#,##0</c:formatCode>
                <c:ptCount val="3"/>
                <c:pt idx="0">
                  <c:v>4343.7327876820382</c:v>
                </c:pt>
                <c:pt idx="1">
                  <c:v>-4213.7327876820382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2F6-4DAF-AED6-E9485A1B3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13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20780</xdr:colOff>
      <xdr:row>5</xdr:row>
      <xdr:rowOff>23503</xdr:rowOff>
    </xdr:from>
    <xdr:to>
      <xdr:col>4</xdr:col>
      <xdr:colOff>1129980</xdr:colOff>
      <xdr:row>12</xdr:row>
      <xdr:rowOff>242394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5BDBED-BC46-4FD4-B27C-9CC62232BB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67935</xdr:colOff>
      <xdr:row>5</xdr:row>
      <xdr:rowOff>23504</xdr:rowOff>
    </xdr:from>
    <xdr:to>
      <xdr:col>6</xdr:col>
      <xdr:colOff>1152735</xdr:colOff>
      <xdr:row>12</xdr:row>
      <xdr:rowOff>253171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33454D-8282-447D-8EF9-BC9A8A8B45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934850</xdr:colOff>
      <xdr:row>8</xdr:row>
      <xdr:rowOff>76851</xdr:rowOff>
    </xdr:from>
    <xdr:to>
      <xdr:col>6</xdr:col>
      <xdr:colOff>304800</xdr:colOff>
      <xdr:row>10</xdr:row>
      <xdr:rowOff>460</xdr:rowOff>
    </xdr:to>
    <xdr:sp macro="" textlink="$D$66">
      <xdr:nvSpPr>
        <xdr:cNvPr id="4" name="TextBox 3">
          <a:extLst>
            <a:ext uri="{FF2B5EF4-FFF2-40B4-BE49-F238E27FC236}">
              <a16:creationId xmlns:a16="http://schemas.microsoft.com/office/drawing/2014/main" id="{39383BC9-7EA4-41C6-8EB8-A563B56462B0}"/>
            </a:ext>
          </a:extLst>
        </xdr:cNvPr>
        <xdr:cNvSpPr txBox="1"/>
      </xdr:nvSpPr>
      <xdr:spPr>
        <a:xfrm>
          <a:off x="6209583" y="2447518"/>
          <a:ext cx="589150" cy="516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fld id="{99F43E1D-FAAD-4472-A741-AEBFC743B5D3}" type="TxLink">
            <a:rPr lang="en-US" sz="240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263</a:t>
          </a:fld>
          <a:endParaRPr lang="en-ZA" sz="8800">
            <a:latin typeface="+mn-lt"/>
          </a:endParaRPr>
        </a:p>
      </xdr:txBody>
    </xdr:sp>
    <xdr:clientData/>
  </xdr:twoCellAnchor>
  <xdr:twoCellAnchor>
    <xdr:from>
      <xdr:col>5</xdr:col>
      <xdr:colOff>73768</xdr:colOff>
      <xdr:row>13</xdr:row>
      <xdr:rowOff>28800</xdr:rowOff>
    </xdr:from>
    <xdr:to>
      <xdr:col>6</xdr:col>
      <xdr:colOff>1158568</xdr:colOff>
      <xdr:row>20</xdr:row>
      <xdr:rowOff>258466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EBDE21E-8E22-45E7-BAC9-609663F2FB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975660</xdr:colOff>
      <xdr:row>16</xdr:row>
      <xdr:rowOff>84740</xdr:rowOff>
    </xdr:from>
    <xdr:to>
      <xdr:col>6</xdr:col>
      <xdr:colOff>315311</xdr:colOff>
      <xdr:row>18</xdr:row>
      <xdr:rowOff>23627</xdr:rowOff>
    </xdr:to>
    <xdr:sp macro="" textlink="$D$68">
      <xdr:nvSpPr>
        <xdr:cNvPr id="6" name="TextBox 5">
          <a:extLst>
            <a:ext uri="{FF2B5EF4-FFF2-40B4-BE49-F238E27FC236}">
              <a16:creationId xmlns:a16="http://schemas.microsoft.com/office/drawing/2014/main" id="{F0DCAB2C-3C9C-47EF-8C5B-8E7BBA75ED83}"/>
            </a:ext>
          </a:extLst>
        </xdr:cNvPr>
        <xdr:cNvSpPr txBox="1"/>
      </xdr:nvSpPr>
      <xdr:spPr>
        <a:xfrm>
          <a:off x="6195360" y="4839620"/>
          <a:ext cx="558851" cy="5332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fld id="{48EDDB7C-F561-4BCB-8002-9FC4E1C6F767}" type="TxLink">
            <a:rPr lang="en-US" sz="240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531</a:t>
          </a:fld>
          <a:endParaRPr lang="en-ZA" sz="41300">
            <a:latin typeface="+mn-lt"/>
          </a:endParaRPr>
        </a:p>
      </xdr:txBody>
    </xdr:sp>
    <xdr:clientData/>
  </xdr:twoCellAnchor>
  <xdr:twoCellAnchor>
    <xdr:from>
      <xdr:col>1</xdr:col>
      <xdr:colOff>41562</xdr:colOff>
      <xdr:row>13</xdr:row>
      <xdr:rowOff>28801</xdr:rowOff>
    </xdr:from>
    <xdr:to>
      <xdr:col>4</xdr:col>
      <xdr:colOff>1150762</xdr:colOff>
      <xdr:row>20</xdr:row>
      <xdr:rowOff>247691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2B20F2E0-DFF2-4818-9F37-39941F282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34637</xdr:colOff>
      <xdr:row>13</xdr:row>
      <xdr:rowOff>36823</xdr:rowOff>
    </xdr:from>
    <xdr:to>
      <xdr:col>8</xdr:col>
      <xdr:colOff>1119437</xdr:colOff>
      <xdr:row>20</xdr:row>
      <xdr:rowOff>266489</xdr:rowOff>
    </xdr:to>
    <xdr:graphicFrame macro="">
      <xdr:nvGraphicFramePr>
        <xdr:cNvPr id="8" name="Chart 5">
          <a:extLst>
            <a:ext uri="{FF2B5EF4-FFF2-40B4-BE49-F238E27FC236}">
              <a16:creationId xmlns:a16="http://schemas.microsoft.com/office/drawing/2014/main" id="{164A49D9-6B65-48D8-BAD2-76AFB734DA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821267</xdr:colOff>
      <xdr:row>16</xdr:row>
      <xdr:rowOff>111460</xdr:rowOff>
    </xdr:from>
    <xdr:to>
      <xdr:col>8</xdr:col>
      <xdr:colOff>364067</xdr:colOff>
      <xdr:row>18</xdr:row>
      <xdr:rowOff>50345</xdr:rowOff>
    </xdr:to>
    <xdr:sp macro="" textlink="$D$70">
      <xdr:nvSpPr>
        <xdr:cNvPr id="9" name="TextBox 8">
          <a:extLst>
            <a:ext uri="{FF2B5EF4-FFF2-40B4-BE49-F238E27FC236}">
              <a16:creationId xmlns:a16="http://schemas.microsoft.com/office/drawing/2014/main" id="{44C08A39-F34A-4A6F-ABB9-5AEAD9D60147}"/>
            </a:ext>
          </a:extLst>
        </xdr:cNvPr>
        <xdr:cNvSpPr txBox="1"/>
      </xdr:nvSpPr>
      <xdr:spPr>
        <a:xfrm>
          <a:off x="8534400" y="4852793"/>
          <a:ext cx="762000" cy="5315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fld id="{CED0BB45-FF36-4D5E-8D01-450322157D79}" type="TxLink">
            <a:rPr lang="en-US" sz="2400" b="0" i="0" u="none" strike="noStrike">
              <a:solidFill>
                <a:srgbClr val="000000"/>
              </a:solidFill>
              <a:latin typeface="Century Gothic"/>
              <a:cs typeface="Arial"/>
            </a:rPr>
            <a:pPr algn="ctr"/>
            <a:t>-128</a:t>
          </a:fld>
          <a:endParaRPr lang="en-ZA" sz="71400">
            <a:latin typeface="+mn-lt"/>
          </a:endParaRPr>
        </a:p>
      </xdr:txBody>
    </xdr:sp>
    <xdr:clientData/>
  </xdr:twoCellAnchor>
  <xdr:twoCellAnchor>
    <xdr:from>
      <xdr:col>9</xdr:col>
      <xdr:colOff>0</xdr:colOff>
      <xdr:row>13</xdr:row>
      <xdr:rowOff>36824</xdr:rowOff>
    </xdr:from>
    <xdr:to>
      <xdr:col>10</xdr:col>
      <xdr:colOff>794057</xdr:colOff>
      <xdr:row>20</xdr:row>
      <xdr:rowOff>266490</xdr:rowOff>
    </xdr:to>
    <xdr:graphicFrame macro="">
      <xdr:nvGraphicFramePr>
        <xdr:cNvPr id="10" name="Chart 6">
          <a:extLst>
            <a:ext uri="{FF2B5EF4-FFF2-40B4-BE49-F238E27FC236}">
              <a16:creationId xmlns:a16="http://schemas.microsoft.com/office/drawing/2014/main" id="{1E224D43-E928-44FE-B555-6B6424598E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685228</xdr:colOff>
      <xdr:row>16</xdr:row>
      <xdr:rowOff>98101</xdr:rowOff>
    </xdr:from>
    <xdr:to>
      <xdr:col>10</xdr:col>
      <xdr:colOff>152401</xdr:colOff>
      <xdr:row>18</xdr:row>
      <xdr:rowOff>36986</xdr:rowOff>
    </xdr:to>
    <xdr:sp macro="" textlink="$D$72">
      <xdr:nvSpPr>
        <xdr:cNvPr id="11" name="TextBox 10">
          <a:extLst>
            <a:ext uri="{FF2B5EF4-FFF2-40B4-BE49-F238E27FC236}">
              <a16:creationId xmlns:a16="http://schemas.microsoft.com/office/drawing/2014/main" id="{9F1D6152-A652-4C06-81E3-0DEDA57F206A}"/>
            </a:ext>
          </a:extLst>
        </xdr:cNvPr>
        <xdr:cNvSpPr txBox="1"/>
      </xdr:nvSpPr>
      <xdr:spPr>
        <a:xfrm>
          <a:off x="10836761" y="4839434"/>
          <a:ext cx="686373" cy="5315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fld id="{27D75242-5F20-43D4-8F3A-4060A1A10BFE}" type="TxLink">
            <a:rPr lang="en-US" sz="2400" b="0" i="0" u="none" strike="noStrike">
              <a:solidFill>
                <a:srgbClr val="000000"/>
              </a:solidFill>
              <a:latin typeface="Century Gothic"/>
              <a:cs typeface="Arial"/>
            </a:rPr>
            <a:pPr algn="ctr"/>
            <a:t>-119</a:t>
          </a:fld>
          <a:endParaRPr lang="en-ZA" sz="71400">
            <a:latin typeface="+mn-lt"/>
          </a:endParaRPr>
        </a:p>
      </xdr:txBody>
    </xdr:sp>
    <xdr:clientData/>
  </xdr:twoCellAnchor>
  <xdr:twoCellAnchor>
    <xdr:from>
      <xdr:col>6</xdr:col>
      <xdr:colOff>50680</xdr:colOff>
      <xdr:row>24</xdr:row>
      <xdr:rowOff>72637</xdr:rowOff>
    </xdr:from>
    <xdr:to>
      <xdr:col>10</xdr:col>
      <xdr:colOff>1092200</xdr:colOff>
      <xdr:row>29</xdr:row>
      <xdr:rowOff>144827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4528A07A-4AA5-465C-B606-07BA9BDF7F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44156</xdr:colOff>
      <xdr:row>30</xdr:row>
      <xdr:rowOff>41442</xdr:rowOff>
    </xdr:from>
    <xdr:to>
      <xdr:col>4</xdr:col>
      <xdr:colOff>1117356</xdr:colOff>
      <xdr:row>37</xdr:row>
      <xdr:rowOff>199109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F6F6FCC5-2E00-453D-9B99-D74579C3C0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46466</xdr:colOff>
      <xdr:row>38</xdr:row>
      <xdr:rowOff>41444</xdr:rowOff>
    </xdr:from>
    <xdr:to>
      <xdr:col>6</xdr:col>
      <xdr:colOff>1131266</xdr:colOff>
      <xdr:row>45</xdr:row>
      <xdr:rowOff>271111</xdr:rowOff>
    </xdr:to>
    <xdr:graphicFrame macro="">
      <xdr:nvGraphicFramePr>
        <xdr:cNvPr id="14" name="Chart 9">
          <a:extLst>
            <a:ext uri="{FF2B5EF4-FFF2-40B4-BE49-F238E27FC236}">
              <a16:creationId xmlns:a16="http://schemas.microsoft.com/office/drawing/2014/main" id="{ECE6FC91-0791-4DB9-B3A0-4AE640C70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711767</xdr:colOff>
      <xdr:row>41</xdr:row>
      <xdr:rowOff>135969</xdr:rowOff>
    </xdr:from>
    <xdr:to>
      <xdr:col>6</xdr:col>
      <xdr:colOff>464567</xdr:colOff>
      <xdr:row>43</xdr:row>
      <xdr:rowOff>83303</xdr:rowOff>
    </xdr:to>
    <xdr:sp macro="" textlink="$D$107">
      <xdr:nvSpPr>
        <xdr:cNvPr id="15" name="TextBox 14">
          <a:extLst>
            <a:ext uri="{FF2B5EF4-FFF2-40B4-BE49-F238E27FC236}">
              <a16:creationId xmlns:a16="http://schemas.microsoft.com/office/drawing/2014/main" id="{0351F45C-EF1B-4AA8-9F4E-7A514AE85CBE}"/>
            </a:ext>
          </a:extLst>
        </xdr:cNvPr>
        <xdr:cNvSpPr txBox="1"/>
      </xdr:nvSpPr>
      <xdr:spPr>
        <a:xfrm>
          <a:off x="5986500" y="12285636"/>
          <a:ext cx="972000" cy="54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fld id="{B7325DD5-B865-4BCA-8E0B-F06483331672}" type="TxLink">
            <a:rPr lang="en-US" sz="1800" b="0" i="0" u="none" strike="noStrike">
              <a:solidFill>
                <a:srgbClr val="000000"/>
              </a:solidFill>
              <a:latin typeface="Century Gothic"/>
              <a:cs typeface="Arial"/>
            </a:rPr>
            <a:pPr algn="ctr"/>
            <a:t>-1.0</a:t>
          </a:fld>
          <a:endParaRPr lang="en-ZA" sz="148100">
            <a:latin typeface="+mn-lt"/>
          </a:endParaRPr>
        </a:p>
      </xdr:txBody>
    </xdr:sp>
    <xdr:clientData/>
  </xdr:twoCellAnchor>
  <xdr:twoCellAnchor>
    <xdr:from>
      <xdr:col>7</xdr:col>
      <xdr:colOff>28597</xdr:colOff>
      <xdr:row>38</xdr:row>
      <xdr:rowOff>32974</xdr:rowOff>
    </xdr:from>
    <xdr:to>
      <xdr:col>8</xdr:col>
      <xdr:colOff>1113397</xdr:colOff>
      <xdr:row>45</xdr:row>
      <xdr:rowOff>262641</xdr:rowOff>
    </xdr:to>
    <xdr:graphicFrame macro="">
      <xdr:nvGraphicFramePr>
        <xdr:cNvPr id="16" name="Chart 10">
          <a:extLst>
            <a:ext uri="{FF2B5EF4-FFF2-40B4-BE49-F238E27FC236}">
              <a16:creationId xmlns:a16="http://schemas.microsoft.com/office/drawing/2014/main" id="{1D72BB15-0B72-4330-A78E-19FA87C065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687815</xdr:colOff>
      <xdr:row>41</xdr:row>
      <xdr:rowOff>111457</xdr:rowOff>
    </xdr:from>
    <xdr:to>
      <xdr:col>8</xdr:col>
      <xdr:colOff>440615</xdr:colOff>
      <xdr:row>43</xdr:row>
      <xdr:rowOff>58791</xdr:rowOff>
    </xdr:to>
    <xdr:sp macro="" textlink="$D$109">
      <xdr:nvSpPr>
        <xdr:cNvPr id="17" name="TextBox 16">
          <a:extLst>
            <a:ext uri="{FF2B5EF4-FFF2-40B4-BE49-F238E27FC236}">
              <a16:creationId xmlns:a16="http://schemas.microsoft.com/office/drawing/2014/main" id="{DA76C25E-39FF-47A5-AF15-382928A6100F}"/>
            </a:ext>
          </a:extLst>
        </xdr:cNvPr>
        <xdr:cNvSpPr txBox="1"/>
      </xdr:nvSpPr>
      <xdr:spPr>
        <a:xfrm>
          <a:off x="8400948" y="12261124"/>
          <a:ext cx="972000" cy="54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fld id="{364A354F-4F80-4670-926D-C1BFE8C595D8}" type="TxLink">
            <a:rPr lang="en-US" sz="1800" b="0" i="0" u="none" strike="noStrike">
              <a:solidFill>
                <a:srgbClr val="000000"/>
              </a:solidFill>
              <a:latin typeface="Century Gothic"/>
              <a:cs typeface="Arial"/>
            </a:rPr>
            <a:pPr algn="ctr"/>
            <a:t>-0.4</a:t>
          </a:fld>
          <a:endParaRPr lang="en-ZA" sz="148100">
            <a:latin typeface="+mn-lt"/>
          </a:endParaRPr>
        </a:p>
      </xdr:txBody>
    </xdr:sp>
    <xdr:clientData/>
  </xdr:twoCellAnchor>
  <xdr:twoCellAnchor>
    <xdr:from>
      <xdr:col>9</xdr:col>
      <xdr:colOff>50801</xdr:colOff>
      <xdr:row>38</xdr:row>
      <xdr:rowOff>32974</xdr:rowOff>
    </xdr:from>
    <xdr:to>
      <xdr:col>10</xdr:col>
      <xdr:colOff>1135601</xdr:colOff>
      <xdr:row>45</xdr:row>
      <xdr:rowOff>262641</xdr:rowOff>
    </xdr:to>
    <xdr:graphicFrame macro="">
      <xdr:nvGraphicFramePr>
        <xdr:cNvPr id="18" name="Chart 11">
          <a:extLst>
            <a:ext uri="{FF2B5EF4-FFF2-40B4-BE49-F238E27FC236}">
              <a16:creationId xmlns:a16="http://schemas.microsoft.com/office/drawing/2014/main" id="{6AD87D65-1042-4440-8C5C-E468F8F63E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764669</xdr:colOff>
      <xdr:row>41</xdr:row>
      <xdr:rowOff>111903</xdr:rowOff>
    </xdr:from>
    <xdr:to>
      <xdr:col>10</xdr:col>
      <xdr:colOff>458202</xdr:colOff>
      <xdr:row>43</xdr:row>
      <xdr:rowOff>59237</xdr:rowOff>
    </xdr:to>
    <xdr:sp macro="" textlink="$D$111">
      <xdr:nvSpPr>
        <xdr:cNvPr id="19" name="TextBox 18">
          <a:extLst>
            <a:ext uri="{FF2B5EF4-FFF2-40B4-BE49-F238E27FC236}">
              <a16:creationId xmlns:a16="http://schemas.microsoft.com/office/drawing/2014/main" id="{0F82EC6F-A27F-4ABB-A616-2C6EB0C2C50B}"/>
            </a:ext>
          </a:extLst>
        </xdr:cNvPr>
        <xdr:cNvSpPr txBox="1"/>
      </xdr:nvSpPr>
      <xdr:spPr>
        <a:xfrm>
          <a:off x="10916202" y="12261570"/>
          <a:ext cx="912733" cy="54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fld id="{052695DD-366F-4407-AE01-74376626413F}" type="TxLink">
            <a:rPr lang="en-US" sz="1800" b="0" i="0" u="none" strike="noStrike">
              <a:solidFill>
                <a:srgbClr val="000000"/>
              </a:solidFill>
              <a:latin typeface="Century Gothic"/>
              <a:cs typeface="Arial"/>
            </a:rPr>
            <a:pPr algn="ctr"/>
            <a:t>-126</a:t>
          </a:fld>
          <a:endParaRPr lang="en-ZA" sz="148100">
            <a:latin typeface="+mn-lt"/>
          </a:endParaRPr>
        </a:p>
      </xdr:txBody>
    </xdr:sp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Quotable">
  <a:themeElements>
    <a:clrScheme name="Quotable">
      <a:dk1>
        <a:sysClr val="windowText" lastClr="000000"/>
      </a:dk1>
      <a:lt1>
        <a:sysClr val="window" lastClr="FFFFFF"/>
      </a:lt1>
      <a:dk2>
        <a:srgbClr val="212121"/>
      </a:dk2>
      <a:lt2>
        <a:srgbClr val="636363"/>
      </a:lt2>
      <a:accent1>
        <a:srgbClr val="00C6BB"/>
      </a:accent1>
      <a:accent2>
        <a:srgbClr val="6FEBA0"/>
      </a:accent2>
      <a:accent3>
        <a:srgbClr val="B6DF5E"/>
      </a:accent3>
      <a:accent4>
        <a:srgbClr val="EFB251"/>
      </a:accent4>
      <a:accent5>
        <a:srgbClr val="EF755F"/>
      </a:accent5>
      <a:accent6>
        <a:srgbClr val="ED515C"/>
      </a:accent6>
      <a:hlink>
        <a:srgbClr val="8F8F8F"/>
      </a:hlink>
      <a:folHlink>
        <a:srgbClr val="A5A5A5"/>
      </a:folHlink>
    </a:clrScheme>
    <a:fontScheme name="Quotable">
      <a:maj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Quotable">
      <a:fillStyleLst>
        <a:solidFill>
          <a:schemeClr val="phClr"/>
        </a:solidFill>
        <a:gradFill rotWithShape="1">
          <a:gsLst>
            <a:gs pos="0">
              <a:schemeClr val="phClr">
                <a:tint val="80000"/>
                <a:lumMod val="105000"/>
              </a:schemeClr>
            </a:gs>
            <a:gs pos="100000">
              <a:schemeClr val="phClr">
                <a:tint val="90000"/>
              </a:schemeClr>
            </a:gs>
          </a:gsLst>
          <a:lin ang="5400000" scaled="0"/>
        </a:gradFill>
        <a:blipFill rotWithShape="1">
          <a:blip xmlns:r="http://schemas.openxmlformats.org/officeDocument/2006/relationships" r:embed="rId1">
            <a:duotone>
              <a:schemeClr val="phClr">
                <a:tint val="98000"/>
                <a:lumMod val="102000"/>
              </a:schemeClr>
              <a:schemeClr val="phClr">
                <a:shade val="98000"/>
                <a:lumMod val="98000"/>
              </a:schemeClr>
            </a:duotone>
          </a:blip>
          <a:tile tx="0" ty="0" sx="100000" sy="100000" flip="none" algn="tl"/>
        </a:blipFill>
      </a:fillStyleLst>
      <a:lnStyleLst>
        <a:ln w="9525" cap="rnd" cmpd="sng" algn="ctr">
          <a:solidFill>
            <a:schemeClr val="phClr"/>
          </a:solidFill>
          <a:prstDash val="solid"/>
        </a:ln>
        <a:ln w="15875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63500" dist="25400" dir="13500000">
              <a:srgbClr val="000000">
                <a:alpha val="75000"/>
              </a:srgbClr>
            </a:inn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100000"/>
              </a:schemeClr>
            </a:gs>
            <a:gs pos="100000">
              <a:schemeClr val="phClr">
                <a:tint val="84000"/>
                <a:shade val="84000"/>
                <a:lumMod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84000"/>
                <a:shade val="90000"/>
                <a:satMod val="120000"/>
                <a:lumMod val="90000"/>
              </a:schemeClr>
            </a:gs>
            <a:gs pos="100000">
              <a:schemeClr val="phClr"/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Quotable" id="{39EC5628-30ED-4578-ACD8-9820EDB8E15A}" vid="{6F3559E9-1A4C-49D8-94D4-F41003531C49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37"/>
  <sheetViews>
    <sheetView topLeftCell="A7" zoomScale="95" zoomScaleNormal="95" workbookViewId="0">
      <selection activeCell="G2" sqref="G2"/>
    </sheetView>
  </sheetViews>
  <sheetFormatPr defaultColWidth="9.08984375" defaultRowHeight="16" customHeight="1" x14ac:dyDescent="0.25"/>
  <cols>
    <col min="1" max="1" width="6.81640625" style="1" customWidth="1"/>
    <col min="2" max="2" width="20.6328125" style="1" customWidth="1"/>
    <col min="3" max="3" width="15.6328125" style="1" customWidth="1"/>
    <col min="4" max="4" width="5.6328125" style="1" customWidth="1"/>
    <col min="5" max="15" width="15.6328125" style="1" customWidth="1"/>
    <col min="16" max="16384" width="9.08984375" style="1"/>
  </cols>
  <sheetData>
    <row r="1" spans="1:5" ht="16" customHeight="1" x14ac:dyDescent="0.3">
      <c r="A1" s="106" t="str">
        <f>IF(ISBLANK($C$4),"Example (Pty) Limited",$C$4)</f>
        <v>Example (Pty) Limited</v>
      </c>
      <c r="B1" s="3"/>
    </row>
    <row r="2" spans="1:5" ht="16" customHeight="1" x14ac:dyDescent="0.25">
      <c r="A2" s="4" t="s">
        <v>0</v>
      </c>
      <c r="B2" s="4"/>
    </row>
    <row r="3" spans="1:5" ht="16" customHeight="1" x14ac:dyDescent="0.25">
      <c r="A3" s="5" t="s">
        <v>36</v>
      </c>
      <c r="B3" s="5"/>
    </row>
    <row r="4" spans="1:5" ht="16" customHeight="1" x14ac:dyDescent="0.25">
      <c r="A4" s="1" t="s">
        <v>1</v>
      </c>
      <c r="C4" s="219" t="s">
        <v>307</v>
      </c>
      <c r="D4" s="219"/>
      <c r="E4" s="219"/>
    </row>
    <row r="6" spans="1:5" ht="16" customHeight="1" x14ac:dyDescent="0.25">
      <c r="A6" s="1" t="s">
        <v>3</v>
      </c>
      <c r="C6" s="6">
        <v>43132</v>
      </c>
    </row>
    <row r="8" spans="1:5" ht="16" customHeight="1" x14ac:dyDescent="0.25">
      <c r="A8" s="1" t="s">
        <v>2</v>
      </c>
      <c r="C8" s="7">
        <v>2026</v>
      </c>
    </row>
    <row r="10" spans="1:5" ht="16" customHeight="1" x14ac:dyDescent="0.25">
      <c r="A10" s="1" t="s">
        <v>37</v>
      </c>
      <c r="C10" s="217">
        <f ca="1">IF(ISBLANK($C$8)=TRUE,IF(ISBLANK($C$6)=TRUE,DATE(YEAR(TODAY()),MONTH(TODAY())+1,0),DATE(YEAR(TODAY()),MONTH($C$6)+1,0)),IF(ISBLANK($C$6)=TRUE,DATE($C$8,MONTH(TODAY())+1,0),DATE($C$8,MONTH($C$6)+1,0)))</f>
        <v>46081</v>
      </c>
      <c r="D10" s="218"/>
    </row>
    <row r="12" spans="1:5" ht="16" customHeight="1" x14ac:dyDescent="0.25">
      <c r="A12" s="1" t="s">
        <v>44</v>
      </c>
      <c r="C12" s="8">
        <v>46081</v>
      </c>
    </row>
    <row r="14" spans="1:5" ht="16" customHeight="1" x14ac:dyDescent="0.25">
      <c r="A14" s="1" t="s">
        <v>88</v>
      </c>
      <c r="C14" s="217">
        <f>IF(ISBLANK($C$12)=TRUE,$C$10,$C$12)</f>
        <v>46081</v>
      </c>
      <c r="D14" s="218"/>
    </row>
    <row r="16" spans="1:5" ht="16" customHeight="1" x14ac:dyDescent="0.25">
      <c r="A16" s="1" t="s">
        <v>81</v>
      </c>
      <c r="C16" s="9">
        <f>IF(ISBLANK($C$14)=TRUE,"Select cell B12!",DATE(YEAR($C$14)-1,MONTH($C$14)+1,0))</f>
        <v>45716</v>
      </c>
    </row>
    <row r="17" spans="1:3" ht="16" customHeight="1" x14ac:dyDescent="0.25">
      <c r="C17" s="10"/>
    </row>
    <row r="18" spans="1:3" ht="16" customHeight="1" x14ac:dyDescent="0.25">
      <c r="A18" s="3" t="s">
        <v>301</v>
      </c>
      <c r="B18" s="3"/>
      <c r="C18" s="3"/>
    </row>
    <row r="19" spans="1:3" ht="16" customHeight="1" x14ac:dyDescent="0.25">
      <c r="A19" s="4" t="s">
        <v>294</v>
      </c>
      <c r="B19" s="4" t="s">
        <v>295</v>
      </c>
    </row>
    <row r="20" spans="1:3" ht="16" customHeight="1" x14ac:dyDescent="0.25">
      <c r="A20" s="1" t="s">
        <v>296</v>
      </c>
      <c r="B20" s="1" t="s">
        <v>303</v>
      </c>
    </row>
    <row r="21" spans="1:3" ht="16" customHeight="1" x14ac:dyDescent="0.25">
      <c r="A21" s="1" t="s">
        <v>297</v>
      </c>
      <c r="B21" s="1" t="s">
        <v>302</v>
      </c>
    </row>
    <row r="22" spans="1:3" ht="16" customHeight="1" x14ac:dyDescent="0.25">
      <c r="A22" s="1" t="s">
        <v>298</v>
      </c>
      <c r="B22" s="1" t="s">
        <v>304</v>
      </c>
    </row>
    <row r="23" spans="1:3" ht="16" customHeight="1" x14ac:dyDescent="0.25">
      <c r="A23" s="1" t="s">
        <v>299</v>
      </c>
      <c r="B23" s="1" t="s">
        <v>305</v>
      </c>
    </row>
    <row r="24" spans="1:3" ht="16" customHeight="1" x14ac:dyDescent="0.25">
      <c r="A24" s="1" t="s">
        <v>300</v>
      </c>
      <c r="B24" s="1" t="s">
        <v>306</v>
      </c>
    </row>
    <row r="26" spans="1:3" ht="16" customHeight="1" x14ac:dyDescent="0.25">
      <c r="B26" s="11">
        <f ca="1">DATE(YEAR(TODAY()),1,1)</f>
        <v>46023</v>
      </c>
    </row>
    <row r="27" spans="1:3" ht="16" customHeight="1" x14ac:dyDescent="0.25">
      <c r="B27" s="11">
        <f ca="1">DATE(YEAR(TODAY()),2,1)</f>
        <v>46054</v>
      </c>
    </row>
    <row r="28" spans="1:3" ht="16" customHeight="1" x14ac:dyDescent="0.25">
      <c r="B28" s="11">
        <f ca="1">DATE(YEAR(TODAY()),3,1)</f>
        <v>46082</v>
      </c>
    </row>
    <row r="29" spans="1:3" ht="16" customHeight="1" x14ac:dyDescent="0.25">
      <c r="B29" s="11">
        <f ca="1">DATE(YEAR(TODAY()),4,1)</f>
        <v>46113</v>
      </c>
    </row>
    <row r="30" spans="1:3" ht="16" customHeight="1" x14ac:dyDescent="0.25">
      <c r="B30" s="11">
        <f ca="1">DATE(YEAR(TODAY()),5,1)</f>
        <v>46143</v>
      </c>
    </row>
    <row r="31" spans="1:3" ht="16" customHeight="1" x14ac:dyDescent="0.25">
      <c r="B31" s="11">
        <f ca="1">DATE(YEAR(TODAY()),6,1)</f>
        <v>46174</v>
      </c>
    </row>
    <row r="32" spans="1:3" ht="16" customHeight="1" x14ac:dyDescent="0.25">
      <c r="B32" s="11">
        <f ca="1">DATE(YEAR(TODAY()),7,1)</f>
        <v>46204</v>
      </c>
    </row>
    <row r="33" spans="2:2" ht="16" customHeight="1" x14ac:dyDescent="0.25">
      <c r="B33" s="11">
        <f ca="1">DATE(YEAR(TODAY()),8,1)</f>
        <v>46235</v>
      </c>
    </row>
    <row r="34" spans="2:2" ht="16" customHeight="1" x14ac:dyDescent="0.25">
      <c r="B34" s="11">
        <f ca="1">DATE(YEAR(TODAY()),9,1)</f>
        <v>46266</v>
      </c>
    </row>
    <row r="35" spans="2:2" ht="16" customHeight="1" x14ac:dyDescent="0.25">
      <c r="B35" s="11">
        <f ca="1">DATE(YEAR(TODAY()),10,1)</f>
        <v>46296</v>
      </c>
    </row>
    <row r="36" spans="2:2" ht="16" customHeight="1" x14ac:dyDescent="0.25">
      <c r="B36" s="11">
        <f ca="1">DATE(YEAR(TODAY()),11,1)</f>
        <v>46327</v>
      </c>
    </row>
    <row r="37" spans="2:2" ht="16" customHeight="1" x14ac:dyDescent="0.25">
      <c r="B37" s="11">
        <f ca="1">DATE(YEAR(TODAY()),12,1)</f>
        <v>46357</v>
      </c>
    </row>
  </sheetData>
  <mergeCells count="3">
    <mergeCell ref="C10:D10"/>
    <mergeCell ref="C4:E4"/>
    <mergeCell ref="C14:D14"/>
  </mergeCells>
  <conditionalFormatting sqref="C6 C8">
    <cfRule type="containsBlanks" dxfId="12" priority="1" stopIfTrue="1">
      <formula>LEN(TRIM(C6))=0</formula>
    </cfRule>
  </conditionalFormatting>
  <conditionalFormatting sqref="C12">
    <cfRule type="expression" dxfId="11" priority="2" stopIfTrue="1">
      <formula>OR(ISBLANK(C12),ISNA(MATCH(C12,TBMonths,0)))</formula>
    </cfRule>
  </conditionalFormatting>
  <conditionalFormatting sqref="C16">
    <cfRule type="expression" dxfId="10" priority="3" stopIfTrue="1">
      <formula>OR(ISBLANK(C16),ISNA(MATCH(C16,PYMonths,0)))</formula>
    </cfRule>
  </conditionalFormatting>
  <dataValidations count="3">
    <dataValidation type="list" allowBlank="1" showInputMessage="1" showErrorMessage="1" errorTitle="Invalid Selection" error="Select a valid month from the list box." sqref="C6" xr:uid="{00000000-0002-0000-0400-000000000000}">
      <formula1>MonthNames</formula1>
    </dataValidation>
    <dataValidation type="whole" allowBlank="1" showInputMessage="1" showErrorMessage="1" errorTitle="Invalid Data" error="Enter a valid year between 2000 and 2100." sqref="C8" xr:uid="{00000000-0002-0000-0400-000001000000}">
      <formula1>2000</formula1>
      <formula2>2100</formula2>
    </dataValidation>
    <dataValidation type="list" allowBlank="1" showInputMessage="1" showErrorMessage="1" errorTitle="Invalid Selection" error="Select a valid reporting period from the list box." sqref="C12" xr:uid="{00000000-0002-0000-0400-000002000000}">
      <formula1>TBMonths</formula1>
    </dataValidation>
  </dataValidations>
  <pageMargins left="0.55118110236220474" right="0.55118110236220474" top="0.55118110236220474" bottom="0.55118110236220474" header="0.39370078740157483" footer="0.39370078740157483"/>
  <pageSetup paperSize="9" orientation="portrait" r:id="rId1"/>
  <headerFooter>
    <oddFooter>&amp;C&amp;9Page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81"/>
  <sheetViews>
    <sheetView zoomScale="95" zoomScaleNormal="95" workbookViewId="0">
      <pane xSplit="3" ySplit="4" topLeftCell="D26" activePane="bottomRight" state="frozen"/>
      <selection pane="topRight" activeCell="D1" sqref="D1"/>
      <selection pane="bottomLeft" activeCell="A5" sqref="A5"/>
      <selection pane="bottomRight" activeCell="N29" sqref="N29"/>
    </sheetView>
  </sheetViews>
  <sheetFormatPr defaultColWidth="9.08984375" defaultRowHeight="16" customHeight="1" x14ac:dyDescent="0.25"/>
  <cols>
    <col min="1" max="1" width="10.6328125" style="14" customWidth="1"/>
    <col min="2" max="2" width="14.6328125" style="14" customWidth="1"/>
    <col min="3" max="3" width="43.453125" style="14" customWidth="1"/>
    <col min="4" max="15" width="14.6328125" style="21" customWidth="1"/>
    <col min="16" max="18" width="15.6328125" style="21" customWidth="1"/>
    <col min="19" max="16384" width="9.08984375" style="1"/>
  </cols>
  <sheetData>
    <row r="1" spans="1:18" ht="16" customHeight="1" x14ac:dyDescent="0.3">
      <c r="A1" s="106" t="str">
        <f>IF(ISBLANK(Setup!$C$4),"Example (Pty) Limited",Setup!$C$4)</f>
        <v>Example (Pty) Limited</v>
      </c>
    </row>
    <row r="2" spans="1:18" ht="16" customHeight="1" x14ac:dyDescent="0.25">
      <c r="A2" s="2" t="s">
        <v>79</v>
      </c>
    </row>
    <row r="3" spans="1:18" ht="16" customHeight="1" x14ac:dyDescent="0.25">
      <c r="A3" s="24" t="s">
        <v>36</v>
      </c>
      <c r="D3" s="21" cm="1">
        <f t="array" aca="1" ref="D3" ca="1">IF(TBRowCount=0,0,ROUND(SUBTOTAL(9,OFFSET(D$4,1,0,TBRowCount,1)),2))</f>
        <v>0</v>
      </c>
      <c r="E3" s="21" cm="1">
        <f t="array" aca="1" ref="E3" ca="1">IF(TBRowCount=0,0,ROUND(SUBTOTAL(9,OFFSET(E$4,1,0,TBRowCount,1)),2))</f>
        <v>0</v>
      </c>
      <c r="F3" s="21" cm="1">
        <f t="array" aca="1" ref="F3" ca="1">IF(TBRowCount=0,0,ROUND(SUBTOTAL(9,OFFSET(F$4,1,0,TBRowCount,1)),2))</f>
        <v>0</v>
      </c>
      <c r="G3" s="21" cm="1">
        <f t="array" aca="1" ref="G3" ca="1">IF(TBRowCount=0,0,ROUND(SUBTOTAL(9,OFFSET(G$4,1,0,TBRowCount,1)),2))</f>
        <v>0</v>
      </c>
      <c r="H3" s="21" cm="1">
        <f t="array" aca="1" ref="H3" ca="1">IF(TBRowCount=0,0,ROUND(SUBTOTAL(9,OFFSET(H$4,1,0,TBRowCount,1)),2))</f>
        <v>0</v>
      </c>
      <c r="I3" s="21" cm="1">
        <f t="array" aca="1" ref="I3" ca="1">IF(TBRowCount=0,0,ROUND(SUBTOTAL(9,OFFSET(I$4,1,0,TBRowCount,1)),2))</f>
        <v>0</v>
      </c>
      <c r="J3" s="21" cm="1">
        <f t="array" aca="1" ref="J3" ca="1">IF(TBRowCount=0,0,ROUND(SUBTOTAL(9,OFFSET(J$4,1,0,TBRowCount,1)),2))</f>
        <v>0</v>
      </c>
      <c r="K3" s="21" cm="1">
        <f t="array" aca="1" ref="K3" ca="1">IF(TBRowCount=0,0,ROUND(SUBTOTAL(9,OFFSET(K$4,1,0,TBRowCount,1)),2))</f>
        <v>0</v>
      </c>
      <c r="L3" s="21" cm="1">
        <f t="array" aca="1" ref="L3" ca="1">IF(TBRowCount=0,0,ROUND(SUBTOTAL(9,OFFSET(L$4,1,0,TBRowCount,1)),2))</f>
        <v>0</v>
      </c>
      <c r="M3" s="21" cm="1">
        <f t="array" aca="1" ref="M3" ca="1">IF(TBRowCount=0,0,ROUND(SUBTOTAL(9,OFFSET(M$4,1,0,TBRowCount,1)),2))</f>
        <v>0</v>
      </c>
      <c r="N3" s="21" cm="1">
        <f t="array" aca="1" ref="N3" ca="1">IF(TBRowCount=0,0,ROUND(SUBTOTAL(9,OFFSET(N$4,1,0,TBRowCount,1)),2))</f>
        <v>0</v>
      </c>
      <c r="O3" s="21" cm="1">
        <f t="array" aca="1" ref="O3" ca="1">IF(TBRowCount=0,0,ROUND(SUBTOTAL(9,OFFSET(O$4,1,0,TBRowCount,1)),2))</f>
        <v>0</v>
      </c>
    </row>
    <row r="4" spans="1:18" s="20" customFormat="1" ht="18" customHeight="1" x14ac:dyDescent="0.25">
      <c r="A4" s="12" t="s">
        <v>6</v>
      </c>
      <c r="B4" s="17" t="s">
        <v>20</v>
      </c>
      <c r="C4" s="12" t="s">
        <v>7</v>
      </c>
      <c r="D4" s="26">
        <f ca="1">DATE(YEAR(Setup!$C$10)-1,MONTH(Setup!$C$10)+2,0)</f>
        <v>45747</v>
      </c>
      <c r="E4" s="26">
        <f ca="1">DATE(YEAR(D4),MONTH(D4)+2,0)</f>
        <v>45777</v>
      </c>
      <c r="F4" s="26">
        <f t="shared" ref="F4:O4" ca="1" si="0">DATE(YEAR(E4),MONTH(E4)+2,0)</f>
        <v>45808</v>
      </c>
      <c r="G4" s="26">
        <f t="shared" ca="1" si="0"/>
        <v>45838</v>
      </c>
      <c r="H4" s="26">
        <f t="shared" ca="1" si="0"/>
        <v>45869</v>
      </c>
      <c r="I4" s="26">
        <f t="shared" ca="1" si="0"/>
        <v>45900</v>
      </c>
      <c r="J4" s="26">
        <f t="shared" ca="1" si="0"/>
        <v>45930</v>
      </c>
      <c r="K4" s="26">
        <f t="shared" ca="1" si="0"/>
        <v>45961</v>
      </c>
      <c r="L4" s="26">
        <f t="shared" ca="1" si="0"/>
        <v>45991</v>
      </c>
      <c r="M4" s="26">
        <f t="shared" ca="1" si="0"/>
        <v>46022</v>
      </c>
      <c r="N4" s="26">
        <f t="shared" ca="1" si="0"/>
        <v>46053</v>
      </c>
      <c r="O4" s="26">
        <f t="shared" ca="1" si="0"/>
        <v>46081</v>
      </c>
      <c r="P4" s="27"/>
      <c r="Q4" s="27"/>
      <c r="R4" s="27"/>
    </row>
    <row r="5" spans="1:18" ht="16" customHeight="1" x14ac:dyDescent="0.25">
      <c r="A5" s="14" t="str">
        <f ca="1">IF(ISNA(VLOOKUP($B5,KeyAll,COLUMN(Key!$C$4),0))=TRUE,"No key!",VLOOKUP($B5,KeyAll,COLUMN(Key!$C$4),0))</f>
        <v>B-00G</v>
      </c>
      <c r="B5" s="14" t="s">
        <v>95</v>
      </c>
      <c r="C5" s="1" t="str">
        <f ca="1">IF(ISNA(VLOOKUP($B5,KeyAll,COLUMN(Key!$B$4),0))=TRUE,"No key!",VLOOKUP($B5,KeyAll,COLUMN(Key!$B$4),0))</f>
        <v>Land &amp; Buildings - Cost</v>
      </c>
      <c r="D5" s="21">
        <v>4370.8599999999997</v>
      </c>
      <c r="E5" s="21">
        <v>4707.6000000000004</v>
      </c>
      <c r="F5" s="21">
        <v>5044.3500000000004</v>
      </c>
      <c r="G5" s="21">
        <v>5381.09</v>
      </c>
      <c r="H5" s="21">
        <v>5717.84</v>
      </c>
      <c r="I5" s="21">
        <v>6054.58</v>
      </c>
      <c r="J5" s="21">
        <v>6391.32</v>
      </c>
      <c r="K5" s="21">
        <v>6728.07</v>
      </c>
      <c r="L5" s="21">
        <v>7064.81</v>
      </c>
      <c r="M5" s="21">
        <v>7401.55</v>
      </c>
      <c r="N5" s="21">
        <v>7738.3</v>
      </c>
      <c r="O5" s="21">
        <v>8075.04</v>
      </c>
    </row>
    <row r="6" spans="1:18" ht="16" customHeight="1" x14ac:dyDescent="0.25">
      <c r="A6" s="14" t="str">
        <f ca="1">IF(ISNA(VLOOKUP($B6,KeyAll,COLUMN(Key!$C$4),0))=TRUE,"No key!",VLOOKUP($B6,KeyAll,COLUMN(Key!$C$4),0))</f>
        <v>B-00G</v>
      </c>
      <c r="B6" s="14" t="s">
        <v>97</v>
      </c>
      <c r="C6" s="1" t="str">
        <f ca="1">IF(ISNA(VLOOKUP($B6,KeyAll,COLUMN(Key!$B$4),0))=TRUE,"No key!",VLOOKUP($B6,KeyAll,COLUMN(Key!$B$4),0))</f>
        <v>Plant &amp; Equipment - Cost</v>
      </c>
      <c r="D6" s="21">
        <v>7587.95</v>
      </c>
      <c r="E6" s="21">
        <v>8012.26</v>
      </c>
      <c r="F6" s="21">
        <v>8436.57</v>
      </c>
      <c r="G6" s="21">
        <v>8860.89</v>
      </c>
      <c r="H6" s="21">
        <v>9285.2000000000007</v>
      </c>
      <c r="I6" s="21">
        <v>9709.52</v>
      </c>
      <c r="J6" s="21">
        <v>10133.83</v>
      </c>
      <c r="K6" s="21">
        <v>10558.14</v>
      </c>
      <c r="L6" s="21">
        <v>10982.46</v>
      </c>
      <c r="M6" s="21">
        <v>11406.77</v>
      </c>
      <c r="N6" s="21">
        <v>11831.09</v>
      </c>
      <c r="O6" s="21">
        <v>12255.4</v>
      </c>
    </row>
    <row r="7" spans="1:18" ht="16" customHeight="1" x14ac:dyDescent="0.25">
      <c r="A7" s="14" t="str">
        <f ca="1">IF(ISNA(VLOOKUP($B7,KeyAll,COLUMN(Key!$C$4),0))=TRUE,"No key!",VLOOKUP($B7,KeyAll,COLUMN(Key!$C$4),0))</f>
        <v>B-00G</v>
      </c>
      <c r="B7" s="14" t="s">
        <v>99</v>
      </c>
      <c r="C7" s="1" t="str">
        <f ca="1">IF(ISNA(VLOOKUP($B7,KeyAll,COLUMN(Key!$B$4),0))=TRUE,"No key!",VLOOKUP($B7,KeyAll,COLUMN(Key!$B$4),0))</f>
        <v>Furniture &amp; Fittings - Cost</v>
      </c>
      <c r="D7" s="21">
        <v>2404.17</v>
      </c>
      <c r="E7" s="21">
        <v>2474.75</v>
      </c>
      <c r="F7" s="21">
        <v>2545.34</v>
      </c>
      <c r="G7" s="21">
        <v>2615.92</v>
      </c>
      <c r="H7" s="21">
        <v>2686.51</v>
      </c>
      <c r="I7" s="21">
        <v>2757.1</v>
      </c>
      <c r="J7" s="21">
        <v>2827.68</v>
      </c>
      <c r="K7" s="21">
        <v>2898.27</v>
      </c>
      <c r="L7" s="21">
        <v>2968.85</v>
      </c>
      <c r="M7" s="21">
        <v>3039.44</v>
      </c>
      <c r="N7" s="21">
        <v>3110.02</v>
      </c>
      <c r="O7" s="21">
        <v>3180.61</v>
      </c>
    </row>
    <row r="8" spans="1:18" ht="16" customHeight="1" x14ac:dyDescent="0.25">
      <c r="A8" s="14" t="str">
        <f ca="1">IF(ISNA(VLOOKUP($B8,KeyAll,COLUMN(Key!$C$4),0))=TRUE,"No key!",VLOOKUP($B8,KeyAll,COLUMN(Key!$C$4),0))</f>
        <v>B-00G</v>
      </c>
      <c r="B8" s="14" t="s">
        <v>101</v>
      </c>
      <c r="C8" s="1" t="str">
        <f ca="1">IF(ISNA(VLOOKUP($B8,KeyAll,COLUMN(Key!$B$4),0))=TRUE,"No key!",VLOOKUP($B8,KeyAll,COLUMN(Key!$B$4),0))</f>
        <v>Office Equipment - Cost</v>
      </c>
      <c r="D8" s="21">
        <v>1522.75</v>
      </c>
      <c r="E8" s="21">
        <v>1632.35</v>
      </c>
      <c r="F8" s="21">
        <v>1741.94</v>
      </c>
      <c r="G8" s="21">
        <v>1851.53</v>
      </c>
      <c r="H8" s="21">
        <v>1961.13</v>
      </c>
      <c r="I8" s="21">
        <v>2070.7199999999998</v>
      </c>
      <c r="J8" s="21">
        <v>2180.31</v>
      </c>
      <c r="K8" s="21">
        <v>2289.91</v>
      </c>
      <c r="L8" s="21">
        <v>2399.5</v>
      </c>
      <c r="M8" s="21">
        <v>2509.09</v>
      </c>
      <c r="N8" s="21">
        <v>2618.69</v>
      </c>
      <c r="O8" s="21">
        <v>2728.28</v>
      </c>
    </row>
    <row r="9" spans="1:18" ht="16" customHeight="1" x14ac:dyDescent="0.25">
      <c r="A9" s="14" t="str">
        <f ca="1">IF(ISNA(VLOOKUP($B9,KeyAll,COLUMN(Key!$C$4),0))=TRUE,"No key!",VLOOKUP($B9,KeyAll,COLUMN(Key!$C$4),0))</f>
        <v>B-00G</v>
      </c>
      <c r="B9" s="14" t="s">
        <v>103</v>
      </c>
      <c r="C9" s="1" t="str">
        <f ca="1">IF(ISNA(VLOOKUP($B9,KeyAll,COLUMN(Key!$B$4),0))=TRUE,"No key!",VLOOKUP($B9,KeyAll,COLUMN(Key!$B$4),0))</f>
        <v>Computer Equipment - Cost</v>
      </c>
      <c r="D9" s="21">
        <v>6410.04</v>
      </c>
      <c r="E9" s="21">
        <v>6810.56</v>
      </c>
      <c r="F9" s="21">
        <v>7211.09</v>
      </c>
      <c r="G9" s="21">
        <v>7611.62</v>
      </c>
      <c r="H9" s="21">
        <v>8012.14</v>
      </c>
      <c r="I9" s="21">
        <v>8412.67</v>
      </c>
      <c r="J9" s="21">
        <v>8813.2000000000007</v>
      </c>
      <c r="K9" s="21">
        <v>9213.7199999999993</v>
      </c>
      <c r="L9" s="21">
        <v>9614.25</v>
      </c>
      <c r="M9" s="21">
        <v>10014.780000000001</v>
      </c>
      <c r="N9" s="21">
        <v>10415.299999999999</v>
      </c>
      <c r="O9" s="21">
        <v>10815.83</v>
      </c>
    </row>
    <row r="10" spans="1:18" ht="16" customHeight="1" x14ac:dyDescent="0.25">
      <c r="A10" s="14" t="str">
        <f ca="1">IF(ISNA(VLOOKUP($B10,KeyAll,COLUMN(Key!$C$4),0))=TRUE,"No key!",VLOOKUP($B10,KeyAll,COLUMN(Key!$C$4),0))</f>
        <v>B-00G</v>
      </c>
      <c r="B10" s="14" t="s">
        <v>105</v>
      </c>
      <c r="C10" s="1" t="str">
        <f ca="1">IF(ISNA(VLOOKUP($B10,KeyAll,COLUMN(Key!$B$4),0))=TRUE,"No key!",VLOOKUP($B10,KeyAll,COLUMN(Key!$B$4),0))</f>
        <v>Other Assets - Cost</v>
      </c>
      <c r="D10" s="21">
        <v>1185.26</v>
      </c>
      <c r="E10" s="21">
        <v>1277.94</v>
      </c>
      <c r="F10" s="21">
        <v>1370.62</v>
      </c>
      <c r="G10" s="21">
        <v>1463.3</v>
      </c>
      <c r="H10" s="21">
        <v>1555.98</v>
      </c>
      <c r="I10" s="21">
        <v>1648.67</v>
      </c>
      <c r="J10" s="21">
        <v>1741.35</v>
      </c>
      <c r="K10" s="21">
        <v>1834.03</v>
      </c>
      <c r="L10" s="21">
        <v>1926.71</v>
      </c>
      <c r="M10" s="21">
        <v>2019.39</v>
      </c>
      <c r="N10" s="21">
        <v>2112.0700000000002</v>
      </c>
      <c r="O10" s="21">
        <v>2204.75</v>
      </c>
    </row>
    <row r="11" spans="1:18" ht="16" customHeight="1" x14ac:dyDescent="0.25">
      <c r="A11" s="14" t="str">
        <f ca="1">IF(ISNA(VLOOKUP($B11,KeyAll,COLUMN(Key!$C$4),0))=TRUE,"No key!",VLOOKUP($B11,KeyAll,COLUMN(Key!$C$4),0))</f>
        <v>B-01G</v>
      </c>
      <c r="B11" s="14" t="s">
        <v>107</v>
      </c>
      <c r="C11" s="1" t="str">
        <f ca="1">IF(ISNA(VLOOKUP($B11,KeyAll,COLUMN(Key!$B$4),0))=TRUE,"No key!",VLOOKUP($B11,KeyAll,COLUMN(Key!$B$4),0))</f>
        <v>Land &amp; Buildings - Accum Depreciation</v>
      </c>
      <c r="D11" s="21">
        <v>8827.1</v>
      </c>
      <c r="E11" s="21">
        <v>9025.11</v>
      </c>
      <c r="F11" s="21">
        <v>9223.1200000000008</v>
      </c>
      <c r="G11" s="21">
        <v>9421.1200000000008</v>
      </c>
      <c r="H11" s="21">
        <v>9619.1299999999992</v>
      </c>
      <c r="I11" s="21">
        <v>9817.14</v>
      </c>
      <c r="J11" s="21">
        <v>10015.15</v>
      </c>
      <c r="K11" s="21">
        <v>10213.16</v>
      </c>
      <c r="L11" s="21">
        <v>10411.17</v>
      </c>
      <c r="M11" s="21">
        <v>10609.17</v>
      </c>
      <c r="N11" s="21">
        <v>10807.18</v>
      </c>
      <c r="O11" s="21">
        <v>11005.19</v>
      </c>
    </row>
    <row r="12" spans="1:18" ht="16" customHeight="1" x14ac:dyDescent="0.25">
      <c r="A12" s="14" t="str">
        <f ca="1">IF(ISNA(VLOOKUP($B12,KeyAll,COLUMN(Key!$C$4),0))=TRUE,"No key!",VLOOKUP($B12,KeyAll,COLUMN(Key!$C$4),0))</f>
        <v>B-01G</v>
      </c>
      <c r="B12" s="14" t="s">
        <v>109</v>
      </c>
      <c r="C12" s="1" t="str">
        <f ca="1">IF(ISNA(VLOOKUP($B12,KeyAll,COLUMN(Key!$B$4),0))=TRUE,"No key!",VLOOKUP($B12,KeyAll,COLUMN(Key!$B$4),0))</f>
        <v>Plant &amp; Equipment - Accum Depreciation</v>
      </c>
      <c r="D12" s="21">
        <v>4272.7700000000004</v>
      </c>
      <c r="E12" s="21">
        <v>4364.29</v>
      </c>
      <c r="F12" s="21">
        <v>4455.8100000000004</v>
      </c>
      <c r="G12" s="21">
        <v>4547.33</v>
      </c>
      <c r="H12" s="21">
        <v>4638.8500000000004</v>
      </c>
      <c r="I12" s="21">
        <v>4730.37</v>
      </c>
      <c r="J12" s="21">
        <v>4821.8900000000003</v>
      </c>
      <c r="K12" s="21">
        <v>4913.41</v>
      </c>
      <c r="L12" s="21">
        <v>5004.93</v>
      </c>
      <c r="M12" s="21">
        <v>5096.45</v>
      </c>
      <c r="N12" s="21">
        <v>5187.97</v>
      </c>
      <c r="O12" s="21">
        <v>5279.49</v>
      </c>
    </row>
    <row r="13" spans="1:18" ht="16" customHeight="1" x14ac:dyDescent="0.25">
      <c r="A13" s="14" t="str">
        <f ca="1">IF(ISNA(VLOOKUP($B13,KeyAll,COLUMN(Key!$C$4),0))=TRUE,"No key!",VLOOKUP($B13,KeyAll,COLUMN(Key!$C$4),0))</f>
        <v>B-01G</v>
      </c>
      <c r="B13" s="14" t="s">
        <v>111</v>
      </c>
      <c r="C13" s="1" t="str">
        <f ca="1">IF(ISNA(VLOOKUP($B13,KeyAll,COLUMN(Key!$B$4),0))=TRUE,"No key!",VLOOKUP($B13,KeyAll,COLUMN(Key!$B$4),0))</f>
        <v>Furniture &amp; Fittings - Accum Depreciation</v>
      </c>
      <c r="D13" s="21">
        <v>5129.7</v>
      </c>
      <c r="E13" s="21">
        <v>5300.86</v>
      </c>
      <c r="F13" s="21">
        <v>5472.02</v>
      </c>
      <c r="G13" s="21">
        <v>5643.18</v>
      </c>
      <c r="H13" s="21">
        <v>5814.34</v>
      </c>
      <c r="I13" s="21">
        <v>5985.5</v>
      </c>
      <c r="J13" s="21">
        <v>6156.65</v>
      </c>
      <c r="K13" s="21">
        <v>6327.81</v>
      </c>
      <c r="L13" s="21">
        <v>6498.97</v>
      </c>
      <c r="M13" s="21">
        <v>6670.13</v>
      </c>
      <c r="N13" s="21">
        <v>6841.29</v>
      </c>
      <c r="O13" s="21">
        <v>7012.45</v>
      </c>
    </row>
    <row r="14" spans="1:18" ht="16" customHeight="1" x14ac:dyDescent="0.25">
      <c r="A14" s="14" t="str">
        <f ca="1">IF(ISNA(VLOOKUP($B14,KeyAll,COLUMN(Key!$C$4),0))=TRUE,"No key!",VLOOKUP($B14,KeyAll,COLUMN(Key!$C$4),0))</f>
        <v>B-01G</v>
      </c>
      <c r="B14" s="14" t="s">
        <v>113</v>
      </c>
      <c r="C14" s="1" t="str">
        <f ca="1">IF(ISNA(VLOOKUP($B14,KeyAll,COLUMN(Key!$B$4),0))=TRUE,"No key!",VLOOKUP($B14,KeyAll,COLUMN(Key!$B$4),0))</f>
        <v>Office Equipment -  Accum Depreciation</v>
      </c>
      <c r="D14" s="21">
        <v>6023.62</v>
      </c>
      <c r="E14" s="21">
        <v>6175.37</v>
      </c>
      <c r="F14" s="21">
        <v>6327.12</v>
      </c>
      <c r="G14" s="21">
        <v>6478.87</v>
      </c>
      <c r="H14" s="21">
        <v>6630.63</v>
      </c>
      <c r="I14" s="21">
        <v>6782.38</v>
      </c>
      <c r="J14" s="21">
        <v>6934.13</v>
      </c>
      <c r="K14" s="21">
        <v>7085.89</v>
      </c>
      <c r="L14" s="21">
        <v>7237.64</v>
      </c>
      <c r="M14" s="21">
        <v>7389.39</v>
      </c>
      <c r="N14" s="21">
        <v>7541.15</v>
      </c>
      <c r="O14" s="21">
        <v>7692.9</v>
      </c>
    </row>
    <row r="15" spans="1:18" ht="16" customHeight="1" x14ac:dyDescent="0.25">
      <c r="A15" s="14" t="str">
        <f ca="1">IF(ISNA(VLOOKUP($B15,KeyAll,COLUMN(Key!$C$4),0))=TRUE,"No key!",VLOOKUP($B15,KeyAll,COLUMN(Key!$C$4),0))</f>
        <v>B-01G</v>
      </c>
      <c r="B15" s="14" t="s">
        <v>115</v>
      </c>
      <c r="C15" s="1" t="str">
        <f ca="1">IF(ISNA(VLOOKUP($B15,KeyAll,COLUMN(Key!$B$4),0))=TRUE,"No key!",VLOOKUP($B15,KeyAll,COLUMN(Key!$B$4),0))</f>
        <v>Computer Equipment -  Accum Depreciation</v>
      </c>
      <c r="D15" s="21">
        <v>7282.97</v>
      </c>
      <c r="E15" s="21">
        <v>7427.77</v>
      </c>
      <c r="F15" s="21">
        <v>7572.57</v>
      </c>
      <c r="G15" s="21">
        <v>7717.38</v>
      </c>
      <c r="H15" s="21">
        <v>7862.18</v>
      </c>
      <c r="I15" s="21">
        <v>8006.98</v>
      </c>
      <c r="J15" s="21">
        <v>8151.78</v>
      </c>
      <c r="K15" s="21">
        <v>8296.58</v>
      </c>
      <c r="L15" s="21">
        <v>8441.39</v>
      </c>
      <c r="M15" s="21">
        <v>8586.19</v>
      </c>
      <c r="N15" s="21">
        <v>8730.99</v>
      </c>
      <c r="O15" s="21">
        <v>8875.7900000000009</v>
      </c>
    </row>
    <row r="16" spans="1:18" ht="16" customHeight="1" x14ac:dyDescent="0.25">
      <c r="A16" s="14" t="str">
        <f ca="1">IF(ISNA(VLOOKUP($B16,KeyAll,COLUMN(Key!$C$4),0))=TRUE,"No key!",VLOOKUP($B16,KeyAll,COLUMN(Key!$C$4),0))</f>
        <v>B-01G</v>
      </c>
      <c r="B16" s="14" t="s">
        <v>117</v>
      </c>
      <c r="C16" s="1" t="str">
        <f ca="1">IF(ISNA(VLOOKUP($B16,KeyAll,COLUMN(Key!$B$4),0))=TRUE,"No key!",VLOOKUP($B16,KeyAll,COLUMN(Key!$B$4),0))</f>
        <v>Other Assets -  Accum Depreciation</v>
      </c>
      <c r="D16" s="21">
        <v>5045.01</v>
      </c>
      <c r="E16" s="21">
        <v>5185.38</v>
      </c>
      <c r="F16" s="21">
        <v>5325.74</v>
      </c>
      <c r="G16" s="21">
        <v>5466.11</v>
      </c>
      <c r="H16" s="21">
        <v>5606.48</v>
      </c>
      <c r="I16" s="21">
        <v>5746.84</v>
      </c>
      <c r="J16" s="21">
        <v>5887.21</v>
      </c>
      <c r="K16" s="21">
        <v>6027.57</v>
      </c>
      <c r="L16" s="21">
        <v>6167.94</v>
      </c>
      <c r="M16" s="21">
        <v>6308.3</v>
      </c>
      <c r="N16" s="21">
        <v>6448.67</v>
      </c>
      <c r="O16" s="21">
        <v>6589.04</v>
      </c>
    </row>
    <row r="17" spans="1:15" ht="16" customHeight="1" x14ac:dyDescent="0.25">
      <c r="A17" s="14" t="str">
        <f ca="1">IF(ISNA(VLOOKUP($B17,KeyAll,COLUMN(Key!$C$4),0))=TRUE,"No key!",VLOOKUP($B17,KeyAll,COLUMN(Key!$C$4),0))</f>
        <v>B-02G</v>
      </c>
      <c r="B17" s="14" t="s">
        <v>130</v>
      </c>
      <c r="C17" s="1" t="str">
        <f ca="1">IF(ISNA(VLOOKUP($B17,KeyAll,COLUMN(Key!$B$4),0))=TRUE,"No key!",VLOOKUP($B17,KeyAll,COLUMN(Key!$B$4),0))</f>
        <v>Goodwill - Cost</v>
      </c>
      <c r="D17" s="21">
        <v>5104.63</v>
      </c>
      <c r="E17" s="21">
        <v>5447.2</v>
      </c>
      <c r="F17" s="21">
        <v>5789.78</v>
      </c>
      <c r="G17" s="21">
        <v>6132.35</v>
      </c>
      <c r="H17" s="21">
        <v>6474.93</v>
      </c>
      <c r="I17" s="21">
        <v>6817.5</v>
      </c>
      <c r="J17" s="21">
        <v>7160.08</v>
      </c>
      <c r="K17" s="21">
        <v>7502.65</v>
      </c>
      <c r="L17" s="21">
        <v>7845.23</v>
      </c>
      <c r="M17" s="21">
        <v>8187.8</v>
      </c>
      <c r="N17" s="21">
        <v>8530.3799999999992</v>
      </c>
      <c r="O17" s="21">
        <v>8872.9500000000007</v>
      </c>
    </row>
    <row r="18" spans="1:15" ht="16" customHeight="1" x14ac:dyDescent="0.25">
      <c r="A18" s="14" t="str">
        <f ca="1">IF(ISNA(VLOOKUP($B18,KeyAll,COLUMN(Key!$C$4),0))=TRUE,"No key!",VLOOKUP($B18,KeyAll,COLUMN(Key!$C$4),0))</f>
        <v>B-02G</v>
      </c>
      <c r="B18" s="14" t="s">
        <v>132</v>
      </c>
      <c r="C18" s="1" t="str">
        <f ca="1">IF(ISNA(VLOOKUP($B18,KeyAll,COLUMN(Key!$B$4),0))=TRUE,"No key!",VLOOKUP($B18,KeyAll,COLUMN(Key!$B$4),0))</f>
        <v>Trademarks - Cost</v>
      </c>
      <c r="D18" s="21">
        <v>2797.06</v>
      </c>
      <c r="E18" s="21">
        <v>2939.31</v>
      </c>
      <c r="F18" s="21">
        <v>3081.55</v>
      </c>
      <c r="G18" s="21">
        <v>3223.79</v>
      </c>
      <c r="H18" s="21">
        <v>3366.03</v>
      </c>
      <c r="I18" s="21">
        <v>3508.27</v>
      </c>
      <c r="J18" s="21">
        <v>3650.52</v>
      </c>
      <c r="K18" s="21">
        <v>3792.76</v>
      </c>
      <c r="L18" s="21">
        <v>3935</v>
      </c>
      <c r="M18" s="21">
        <v>4077.24</v>
      </c>
      <c r="N18" s="21">
        <v>4219.4799999999996</v>
      </c>
      <c r="O18" s="21">
        <v>4361.7299999999996</v>
      </c>
    </row>
    <row r="19" spans="1:15" ht="16" customHeight="1" x14ac:dyDescent="0.25">
      <c r="A19" s="14" t="str">
        <f ca="1">IF(ISNA(VLOOKUP($B19,KeyAll,COLUMN(Key!$C$4),0))=TRUE,"No key!",VLOOKUP($B19,KeyAll,COLUMN(Key!$C$4),0))</f>
        <v>B-02G</v>
      </c>
      <c r="B19" s="14" t="s">
        <v>134</v>
      </c>
      <c r="C19" s="1" t="str">
        <f ca="1">IF(ISNA(VLOOKUP($B19,KeyAll,COLUMN(Key!$B$4),0))=TRUE,"No key!",VLOOKUP($B19,KeyAll,COLUMN(Key!$B$4),0))</f>
        <v>Software - Cost</v>
      </c>
      <c r="D19" s="21">
        <v>6331.73</v>
      </c>
      <c r="E19" s="21">
        <v>6476.01</v>
      </c>
      <c r="F19" s="21">
        <v>6620.29</v>
      </c>
      <c r="G19" s="21">
        <v>6764.58</v>
      </c>
      <c r="H19" s="21">
        <v>6908.86</v>
      </c>
      <c r="I19" s="21">
        <v>7053.14</v>
      </c>
      <c r="J19" s="21">
        <v>7197.42</v>
      </c>
      <c r="K19" s="21">
        <v>7341.7</v>
      </c>
      <c r="L19" s="21">
        <v>7485.98</v>
      </c>
      <c r="M19" s="21">
        <v>7630.26</v>
      </c>
      <c r="N19" s="21">
        <v>7774.54</v>
      </c>
      <c r="O19" s="21">
        <v>7918.83</v>
      </c>
    </row>
    <row r="20" spans="1:15" ht="16" customHeight="1" x14ac:dyDescent="0.25">
      <c r="A20" s="14" t="str">
        <f ca="1">IF(ISNA(VLOOKUP($B20,KeyAll,COLUMN(Key!$C$4),0))=TRUE,"No key!",VLOOKUP($B20,KeyAll,COLUMN(Key!$C$4),0))</f>
        <v>B-03G</v>
      </c>
      <c r="B20" s="14" t="s">
        <v>136</v>
      </c>
      <c r="C20" s="1" t="str">
        <f ca="1">IF(ISNA(VLOOKUP($B20,KeyAll,COLUMN(Key!$B$4),0))=TRUE,"No key!",VLOOKUP($B20,KeyAll,COLUMN(Key!$B$4),0))</f>
        <v>Goodwill - Accum Amortization</v>
      </c>
      <c r="D20" s="21">
        <v>7252.81</v>
      </c>
      <c r="E20" s="21">
        <v>7404.89</v>
      </c>
      <c r="F20" s="21">
        <v>7556.97</v>
      </c>
      <c r="G20" s="21">
        <v>7709.05</v>
      </c>
      <c r="H20" s="21">
        <v>7861.13</v>
      </c>
      <c r="I20" s="21">
        <v>8013.21</v>
      </c>
      <c r="J20" s="21">
        <v>8165.29</v>
      </c>
      <c r="K20" s="21">
        <v>8317.3700000000008</v>
      </c>
      <c r="L20" s="21">
        <v>8469.4500000000007</v>
      </c>
      <c r="M20" s="21">
        <v>8621.5300000000007</v>
      </c>
      <c r="N20" s="21">
        <v>8773.61</v>
      </c>
      <c r="O20" s="21">
        <v>8925.69</v>
      </c>
    </row>
    <row r="21" spans="1:15" ht="16" customHeight="1" x14ac:dyDescent="0.25">
      <c r="A21" s="14" t="str">
        <f ca="1">IF(ISNA(VLOOKUP($B21,KeyAll,COLUMN(Key!$C$4),0))=TRUE,"No key!",VLOOKUP($B21,KeyAll,COLUMN(Key!$C$4),0))</f>
        <v>B-03G</v>
      </c>
      <c r="B21" s="14" t="s">
        <v>138</v>
      </c>
      <c r="C21" s="1" t="str">
        <f ca="1">IF(ISNA(VLOOKUP($B21,KeyAll,COLUMN(Key!$B$4),0))=TRUE,"No key!",VLOOKUP($B21,KeyAll,COLUMN(Key!$B$4),0))</f>
        <v>Trademarks - Accum Amortization</v>
      </c>
      <c r="D21" s="21">
        <v>3455.36</v>
      </c>
      <c r="E21" s="21">
        <v>3621.95</v>
      </c>
      <c r="F21" s="21">
        <v>3788.53</v>
      </c>
      <c r="G21" s="21">
        <v>3955.12</v>
      </c>
      <c r="H21" s="21">
        <v>4121.71</v>
      </c>
      <c r="I21" s="21">
        <v>4288.29</v>
      </c>
      <c r="J21" s="21">
        <v>4454.88</v>
      </c>
      <c r="K21" s="21">
        <v>4621.47</v>
      </c>
      <c r="L21" s="21">
        <v>4788.05</v>
      </c>
      <c r="M21" s="21">
        <v>4954.6400000000003</v>
      </c>
      <c r="N21" s="21">
        <v>5121.2299999999996</v>
      </c>
      <c r="O21" s="21">
        <v>5287.81</v>
      </c>
    </row>
    <row r="22" spans="1:15" ht="16" customHeight="1" x14ac:dyDescent="0.25">
      <c r="A22" s="14" t="str">
        <f ca="1">IF(ISNA(VLOOKUP($B22,KeyAll,COLUMN(Key!$C$4),0))=TRUE,"No key!",VLOOKUP($B22,KeyAll,COLUMN(Key!$C$4),0))</f>
        <v>B-03G</v>
      </c>
      <c r="B22" s="14" t="s">
        <v>140</v>
      </c>
      <c r="C22" s="1" t="str">
        <f ca="1">IF(ISNA(VLOOKUP($B22,KeyAll,COLUMN(Key!$B$4),0))=TRUE,"No key!",VLOOKUP($B22,KeyAll,COLUMN(Key!$B$4),0))</f>
        <v>Software - Accum Amortization</v>
      </c>
      <c r="D22" s="21">
        <v>9759.42</v>
      </c>
      <c r="E22" s="21">
        <v>10181.950000000001</v>
      </c>
      <c r="F22" s="21">
        <v>10604.47</v>
      </c>
      <c r="G22" s="21">
        <v>11027</v>
      </c>
      <c r="H22" s="21">
        <v>11449.52</v>
      </c>
      <c r="I22" s="21">
        <v>11872.04</v>
      </c>
      <c r="J22" s="21">
        <v>12294.57</v>
      </c>
      <c r="K22" s="21">
        <v>12717.09</v>
      </c>
      <c r="L22" s="21">
        <v>13139.61</v>
      </c>
      <c r="M22" s="21">
        <v>13562.14</v>
      </c>
      <c r="N22" s="21">
        <v>13984.66</v>
      </c>
      <c r="O22" s="21">
        <v>14407.18</v>
      </c>
    </row>
    <row r="23" spans="1:15" ht="16" customHeight="1" x14ac:dyDescent="0.25">
      <c r="A23" s="14" t="str">
        <f ca="1">IF(ISNA(VLOOKUP($B23,KeyAll,COLUMN(Key!$C$4),0))=TRUE,"No key!",VLOOKUP($B23,KeyAll,COLUMN(Key!$C$4),0))</f>
        <v>B-04G</v>
      </c>
      <c r="B23" s="14" t="s">
        <v>142</v>
      </c>
      <c r="C23" s="1" t="str">
        <f ca="1">IF(ISNA(VLOOKUP($B23,KeyAll,COLUMN(Key!$B$4),0))=TRUE,"No key!",VLOOKUP($B23,KeyAll,COLUMN(Key!$B$4),0))</f>
        <v>Investments</v>
      </c>
      <c r="D23" s="21">
        <v>3741.52</v>
      </c>
      <c r="E23" s="21">
        <v>3838.28</v>
      </c>
      <c r="F23" s="21">
        <v>3935.04</v>
      </c>
      <c r="G23" s="21">
        <v>4031.8</v>
      </c>
      <c r="H23" s="21">
        <v>4128.55</v>
      </c>
      <c r="I23" s="21">
        <v>4225.3100000000004</v>
      </c>
      <c r="J23" s="21">
        <v>4322.07</v>
      </c>
      <c r="K23" s="21">
        <v>4418.82</v>
      </c>
      <c r="L23" s="21">
        <v>4515.58</v>
      </c>
      <c r="M23" s="21">
        <v>4612.34</v>
      </c>
      <c r="N23" s="21">
        <v>4709.09</v>
      </c>
      <c r="O23" s="21">
        <v>4805.8500000000004</v>
      </c>
    </row>
    <row r="24" spans="1:15" ht="16" customHeight="1" x14ac:dyDescent="0.25">
      <c r="A24" s="14" t="str">
        <f ca="1">IF(ISNA(VLOOKUP($B24,KeyAll,COLUMN(Key!$C$4),0))=TRUE,"No key!",VLOOKUP($B24,KeyAll,COLUMN(Key!$C$4),0))</f>
        <v>B-05G</v>
      </c>
      <c r="B24" s="14" t="s">
        <v>155</v>
      </c>
      <c r="C24" s="1" t="str">
        <f ca="1">IF(ISNA(VLOOKUP($B24,KeyAll,COLUMN(Key!$B$4),0))=TRUE,"No key!",VLOOKUP($B24,KeyAll,COLUMN(Key!$B$4),0))</f>
        <v>Loans &amp; Advances</v>
      </c>
      <c r="D24" s="21">
        <v>18684.66</v>
      </c>
      <c r="E24" s="21">
        <v>19335.009999999998</v>
      </c>
      <c r="F24" s="21">
        <v>19985.37</v>
      </c>
      <c r="G24" s="21">
        <v>20635.72</v>
      </c>
      <c r="H24" s="21">
        <v>21286.080000000002</v>
      </c>
      <c r="I24" s="21">
        <v>21936.43</v>
      </c>
      <c r="J24" s="21">
        <v>22586.79</v>
      </c>
      <c r="K24" s="21">
        <v>23237.14</v>
      </c>
      <c r="L24" s="21">
        <v>23887.5</v>
      </c>
      <c r="M24" s="21">
        <v>24537.85</v>
      </c>
      <c r="N24" s="21">
        <v>25188.2</v>
      </c>
      <c r="O24" s="21">
        <v>25838.560000000001</v>
      </c>
    </row>
    <row r="25" spans="1:15" ht="16" customHeight="1" x14ac:dyDescent="0.25">
      <c r="A25" s="14" t="str">
        <f ca="1">IF(ISNA(VLOOKUP($B25,KeyAll,COLUMN(Key!$C$4),0))=TRUE,"No key!",VLOOKUP($B25,KeyAll,COLUMN(Key!$C$4),0))</f>
        <v>B-07G</v>
      </c>
      <c r="B25" s="14" t="s">
        <v>152</v>
      </c>
      <c r="C25" s="1" t="str">
        <f ca="1">IF(ISNA(VLOOKUP($B25,KeyAll,COLUMN(Key!$B$4),0))=TRUE,"No key!",VLOOKUP($B25,KeyAll,COLUMN(Key!$B$4),0))</f>
        <v>Cash On Hand</v>
      </c>
      <c r="D25" s="21">
        <v>8050.96</v>
      </c>
      <c r="E25" s="21">
        <v>8290.93</v>
      </c>
      <c r="F25" s="21">
        <v>8530.91</v>
      </c>
      <c r="G25" s="21">
        <v>8770.8799999999992</v>
      </c>
      <c r="H25" s="21">
        <v>9010.86</v>
      </c>
      <c r="I25" s="21">
        <v>9250.83</v>
      </c>
      <c r="J25" s="21">
        <v>9490.81</v>
      </c>
      <c r="K25" s="21">
        <v>9730.7800000000007</v>
      </c>
      <c r="L25" s="21">
        <v>9970.76</v>
      </c>
      <c r="M25" s="21">
        <v>10210.73</v>
      </c>
      <c r="N25" s="21">
        <v>10450.709999999999</v>
      </c>
      <c r="O25" s="21">
        <v>10690.69</v>
      </c>
    </row>
    <row r="26" spans="1:15" ht="16" customHeight="1" x14ac:dyDescent="0.25">
      <c r="A26" s="14" t="str">
        <f ca="1">IF(ISNA(VLOOKUP($B26,KeyAll,COLUMN(Key!$C$4),0))=TRUE,"No key!",VLOOKUP($B26,KeyAll,COLUMN(Key!$C$4),0))</f>
        <v>B-07G</v>
      </c>
      <c r="B26" s="14" t="s">
        <v>154</v>
      </c>
      <c r="C26" s="1" t="str">
        <f ca="1">IF(ISNA(VLOOKUP($B26,KeyAll,COLUMN(Key!$B$4),0))=TRUE,"No key!",VLOOKUP($B26,KeyAll,COLUMN(Key!$B$4),0))</f>
        <v>Cash Transfer Control</v>
      </c>
      <c r="D26" s="21">
        <v>5859.71</v>
      </c>
      <c r="E26" s="21">
        <v>6131.44</v>
      </c>
      <c r="F26" s="21">
        <v>6403.18</v>
      </c>
      <c r="G26" s="21">
        <v>6674.91</v>
      </c>
      <c r="H26" s="21">
        <v>6946.64</v>
      </c>
      <c r="I26" s="21">
        <v>7218.37</v>
      </c>
      <c r="J26" s="21">
        <v>7490.1</v>
      </c>
      <c r="K26" s="21">
        <v>7761.83</v>
      </c>
      <c r="L26" s="21">
        <v>8033.56</v>
      </c>
      <c r="M26" s="21">
        <v>8305.2999999999993</v>
      </c>
      <c r="N26" s="21">
        <v>8577.0300000000007</v>
      </c>
      <c r="O26" s="21">
        <v>8848.76</v>
      </c>
    </row>
    <row r="27" spans="1:15" ht="16" customHeight="1" x14ac:dyDescent="0.25">
      <c r="A27" s="14" t="str">
        <f ca="1">IF(ISNA(VLOOKUP($B27,KeyAll,COLUMN(Key!$C$4),0))=TRUE,"No key!",VLOOKUP($B27,KeyAll,COLUMN(Key!$C$4),0))</f>
        <v>B-09G</v>
      </c>
      <c r="B27" s="14" t="s">
        <v>157</v>
      </c>
      <c r="C27" s="1" t="str">
        <f ca="1">IF(ISNA(VLOOKUP($B27,KeyAll,COLUMN(Key!$B$4),0))=TRUE,"No key!",VLOOKUP($B27,KeyAll,COLUMN(Key!$B$4),0))</f>
        <v>Other Debtors</v>
      </c>
      <c r="D27" s="21">
        <v>10175.6</v>
      </c>
      <c r="E27" s="21">
        <v>10631.6</v>
      </c>
      <c r="F27" s="21">
        <v>11087.61</v>
      </c>
      <c r="G27" s="21">
        <v>11543.61</v>
      </c>
      <c r="H27" s="21">
        <v>11999.62</v>
      </c>
      <c r="I27" s="21">
        <v>12455.62</v>
      </c>
      <c r="J27" s="21">
        <v>12911.63</v>
      </c>
      <c r="K27" s="21">
        <v>13367.63</v>
      </c>
      <c r="L27" s="21">
        <v>13823.63</v>
      </c>
      <c r="M27" s="21">
        <v>14279.64</v>
      </c>
      <c r="N27" s="21">
        <v>14735.64</v>
      </c>
      <c r="O27" s="21">
        <v>15191.65</v>
      </c>
    </row>
    <row r="28" spans="1:15" ht="16" customHeight="1" x14ac:dyDescent="0.25">
      <c r="A28" s="14" t="str">
        <f ca="1">IF(ISNA(VLOOKUP($B28,KeyAll,COLUMN(Key!$C$4),0))=TRUE,"No key!",VLOOKUP($B28,KeyAll,COLUMN(Key!$C$4),0))</f>
        <v>B-09G</v>
      </c>
      <c r="B28" s="14" t="s">
        <v>159</v>
      </c>
      <c r="C28" s="1" t="str">
        <f ca="1">IF(ISNA(VLOOKUP($B28,KeyAll,COLUMN(Key!$B$4),0))=TRUE,"No key!",VLOOKUP($B28,KeyAll,COLUMN(Key!$B$4),0))</f>
        <v>Prepayments</v>
      </c>
      <c r="D28" s="21">
        <v>3805.4</v>
      </c>
      <c r="E28" s="21">
        <v>4000.25</v>
      </c>
      <c r="F28" s="21">
        <v>4195.1000000000004</v>
      </c>
      <c r="G28" s="21">
        <v>4389.96</v>
      </c>
      <c r="H28" s="21">
        <v>4584.8100000000004</v>
      </c>
      <c r="I28" s="21">
        <v>4779.66</v>
      </c>
      <c r="J28" s="21">
        <v>4974.51</v>
      </c>
      <c r="K28" s="21">
        <v>5169.3599999999997</v>
      </c>
      <c r="L28" s="21">
        <v>5364.22</v>
      </c>
      <c r="M28" s="21">
        <v>5559.07</v>
      </c>
      <c r="N28" s="21">
        <v>5753.92</v>
      </c>
      <c r="O28" s="21">
        <v>5948.77</v>
      </c>
    </row>
    <row r="29" spans="1:15" ht="16" customHeight="1" x14ac:dyDescent="0.25">
      <c r="A29" s="14" t="str">
        <f ca="1">IF(ISNA(VLOOKUP($B29,KeyAll,COLUMN(Key!$C$4),0))=TRUE,"No key!",VLOOKUP($B29,KeyAll,COLUMN(Key!$C$4),0))</f>
        <v>B-13G</v>
      </c>
      <c r="B29" s="14" t="s">
        <v>164</v>
      </c>
      <c r="C29" s="1" t="str">
        <f ca="1">IF(ISNA(VLOOKUP($B29,KeyAll,COLUMN(Key!$B$4),0))=TRUE,"No key!",VLOOKUP($B29,KeyAll,COLUMN(Key!$B$4),0))</f>
        <v>Accruals</v>
      </c>
      <c r="D29" s="21">
        <v>15934.21</v>
      </c>
      <c r="E29" s="21">
        <v>16305.77</v>
      </c>
      <c r="F29" s="21">
        <v>16677.330000000002</v>
      </c>
      <c r="G29" s="21">
        <v>17048.89</v>
      </c>
      <c r="H29" s="21">
        <v>17420.45</v>
      </c>
      <c r="I29" s="21">
        <v>17792.009999999998</v>
      </c>
      <c r="J29" s="21">
        <v>18163.57</v>
      </c>
      <c r="K29" s="21">
        <v>18535.13</v>
      </c>
      <c r="L29" s="21">
        <v>18906.689999999999</v>
      </c>
      <c r="M29" s="21">
        <v>19278.25</v>
      </c>
      <c r="N29" s="21">
        <v>19649.82</v>
      </c>
      <c r="O29" s="21">
        <v>20021.38</v>
      </c>
    </row>
    <row r="30" spans="1:15" ht="16" customHeight="1" x14ac:dyDescent="0.25">
      <c r="A30" s="14" t="str">
        <f ca="1">IF(ISNA(VLOOKUP($B30,KeyAll,COLUMN(Key!$C$4),0))=TRUE,"No key!",VLOOKUP($B30,KeyAll,COLUMN(Key!$C$4),0))</f>
        <v>B-13G</v>
      </c>
      <c r="B30" s="14" t="s">
        <v>166</v>
      </c>
      <c r="C30" s="1" t="str">
        <f ca="1">IF(ISNA(VLOOKUP($B30,KeyAll,COLUMN(Key!$B$4),0))=TRUE,"No key!",VLOOKUP($B30,KeyAll,COLUMN(Key!$B$4),0))</f>
        <v>Payroll Accruals</v>
      </c>
      <c r="D30" s="21">
        <v>24391.69</v>
      </c>
      <c r="E30" s="21">
        <v>25608.37</v>
      </c>
      <c r="F30" s="21">
        <v>26825.06</v>
      </c>
      <c r="G30" s="21">
        <v>28041.74</v>
      </c>
      <c r="H30" s="21">
        <v>29258.42</v>
      </c>
      <c r="I30" s="21">
        <v>30475.1</v>
      </c>
      <c r="J30" s="21">
        <v>31691.78</v>
      </c>
      <c r="K30" s="21">
        <v>32908.46</v>
      </c>
      <c r="L30" s="21">
        <v>34125.14</v>
      </c>
      <c r="M30" s="21">
        <v>35341.83</v>
      </c>
      <c r="N30" s="21">
        <v>36558.51</v>
      </c>
      <c r="O30" s="21">
        <v>37775.19</v>
      </c>
    </row>
    <row r="31" spans="1:15" ht="16" customHeight="1" x14ac:dyDescent="0.25">
      <c r="A31" s="14" t="str">
        <f ca="1">IF(ISNA(VLOOKUP($B31,KeyAll,COLUMN(Key!$C$4),0))=TRUE,"No key!",VLOOKUP($B31,KeyAll,COLUMN(Key!$C$4),0))</f>
        <v>B-13G</v>
      </c>
      <c r="B31" s="14" t="s">
        <v>168</v>
      </c>
      <c r="C31" s="1" t="str">
        <f ca="1">IF(ISNA(VLOOKUP($B31,KeyAll,COLUMN(Key!$B$4),0))=TRUE,"No key!",VLOOKUP($B31,KeyAll,COLUMN(Key!$B$4),0))</f>
        <v>Interest Payable</v>
      </c>
      <c r="D31" s="21">
        <v>9455.49</v>
      </c>
      <c r="E31" s="21">
        <v>10152.26</v>
      </c>
      <c r="F31" s="21">
        <v>10849.03</v>
      </c>
      <c r="G31" s="21">
        <v>11545.81</v>
      </c>
      <c r="H31" s="21">
        <v>12242.58</v>
      </c>
      <c r="I31" s="21">
        <v>12939.35</v>
      </c>
      <c r="J31" s="21">
        <v>13636.12</v>
      </c>
      <c r="K31" s="21">
        <v>14332.89</v>
      </c>
      <c r="L31" s="21">
        <v>15029.66</v>
      </c>
      <c r="M31" s="21">
        <v>15726.44</v>
      </c>
      <c r="N31" s="21">
        <v>16423.21</v>
      </c>
      <c r="O31" s="21">
        <v>17119.98</v>
      </c>
    </row>
    <row r="32" spans="1:15" ht="16" customHeight="1" x14ac:dyDescent="0.25">
      <c r="A32" s="14" t="str">
        <f ca="1">IF(ISNA(VLOOKUP($B32,KeyAll,COLUMN(Key!$C$4),0))=TRUE,"No key!",VLOOKUP($B32,KeyAll,COLUMN(Key!$C$4),0))</f>
        <v>B-14G</v>
      </c>
      <c r="B32" s="14" t="s">
        <v>169</v>
      </c>
      <c r="C32" s="1" t="str">
        <f ca="1">IF(ISNA(VLOOKUP($B32,KeyAll,COLUMN(Key!$B$4),0))=TRUE,"No key!",VLOOKUP($B32,KeyAll,COLUMN(Key!$B$4),0))</f>
        <v>Dividends Payable</v>
      </c>
      <c r="D32" s="21">
        <v>6381.1</v>
      </c>
      <c r="E32" s="21">
        <v>6861.68</v>
      </c>
      <c r="F32" s="21">
        <v>7342.25</v>
      </c>
      <c r="G32" s="21">
        <v>7822.83</v>
      </c>
      <c r="H32" s="21">
        <v>8303.4</v>
      </c>
      <c r="I32" s="21">
        <v>8783.98</v>
      </c>
      <c r="J32" s="21">
        <v>9264.56</v>
      </c>
      <c r="K32" s="21">
        <v>9745.1299999999992</v>
      </c>
      <c r="L32" s="21">
        <v>10225.709999999999</v>
      </c>
      <c r="M32" s="21">
        <v>10706.29</v>
      </c>
      <c r="N32" s="21">
        <v>11186.86</v>
      </c>
      <c r="O32" s="21">
        <v>11667.44</v>
      </c>
    </row>
    <row r="33" spans="1:15" ht="16" customHeight="1" x14ac:dyDescent="0.25">
      <c r="A33" s="14" t="str">
        <f ca="1">IF(ISNA(VLOOKUP($B33,KeyAll,COLUMN(Key!$C$4),0))=TRUE,"No key!",VLOOKUP($B33,KeyAll,COLUMN(Key!$C$4),0))</f>
        <v>B-15G</v>
      </c>
      <c r="B33" s="14" t="s">
        <v>171</v>
      </c>
      <c r="C33" s="1" t="str">
        <f ca="1">IF(ISNA(VLOOKUP($B33,KeyAll,COLUMN(Key!$B$4),0))=TRUE,"No key!",VLOOKUP($B33,KeyAll,COLUMN(Key!$B$4),0))</f>
        <v>Provision For Taxation</v>
      </c>
      <c r="D33" s="21">
        <v>6769.85</v>
      </c>
      <c r="E33" s="21">
        <v>6931.1</v>
      </c>
      <c r="F33" s="21">
        <v>7092.36</v>
      </c>
      <c r="G33" s="21">
        <v>7253.61</v>
      </c>
      <c r="H33" s="21">
        <v>7414.86</v>
      </c>
      <c r="I33" s="21">
        <v>7576.11</v>
      </c>
      <c r="J33" s="21">
        <v>7737.37</v>
      </c>
      <c r="K33" s="21">
        <v>7898.62</v>
      </c>
      <c r="L33" s="21">
        <v>8059.87</v>
      </c>
      <c r="M33" s="21">
        <v>8221.1200000000008</v>
      </c>
      <c r="N33" s="21">
        <v>8382.3799999999992</v>
      </c>
      <c r="O33" s="21">
        <v>8543.6299999999992</v>
      </c>
    </row>
    <row r="34" spans="1:15" ht="16" customHeight="1" x14ac:dyDescent="0.25">
      <c r="A34" s="14" t="str">
        <f ca="1">IF(ISNA(VLOOKUP($B34,KeyAll,COLUMN(Key!$C$4),0))=TRUE,"No key!",VLOOKUP($B34,KeyAll,COLUMN(Key!$C$4),0))</f>
        <v>B-16G</v>
      </c>
      <c r="B34" s="14" t="s">
        <v>174</v>
      </c>
      <c r="C34" s="1" t="str">
        <f ca="1">IF(ISNA(VLOOKUP($B34,KeyAll,COLUMN(Key!$B$4),0))=TRUE,"No key!",VLOOKUP($B34,KeyAll,COLUMN(Key!$B$4),0))</f>
        <v>Provision For Bonuses</v>
      </c>
      <c r="D34" s="21">
        <v>5904.55</v>
      </c>
      <c r="E34" s="21">
        <v>6079.56</v>
      </c>
      <c r="F34" s="21">
        <v>6254.57</v>
      </c>
      <c r="G34" s="21">
        <v>6429.58</v>
      </c>
      <c r="H34" s="21">
        <v>6604.59</v>
      </c>
      <c r="I34" s="21">
        <v>6779.6</v>
      </c>
      <c r="J34" s="21">
        <v>6954.61</v>
      </c>
      <c r="K34" s="21">
        <v>7129.62</v>
      </c>
      <c r="L34" s="21">
        <v>7304.63</v>
      </c>
      <c r="M34" s="21">
        <v>7479.64</v>
      </c>
      <c r="N34" s="21">
        <v>7654.65</v>
      </c>
      <c r="O34" s="21">
        <v>7829.66</v>
      </c>
    </row>
    <row r="35" spans="1:15" ht="16" customHeight="1" x14ac:dyDescent="0.25">
      <c r="A35" s="14" t="str">
        <f ca="1">IF(ISNA(VLOOKUP($B35,KeyAll,COLUMN(Key!$C$4),0))=TRUE,"No key!",VLOOKUP($B35,KeyAll,COLUMN(Key!$C$4),0))</f>
        <v>B-17G</v>
      </c>
      <c r="B35" s="14" t="s">
        <v>176</v>
      </c>
      <c r="C35" s="1" t="str">
        <f ca="1">IF(ISNA(VLOOKUP($B35,KeyAll,COLUMN(Key!$B$4),0))=TRUE,"No key!",VLOOKUP($B35,KeyAll,COLUMN(Key!$B$4),0))</f>
        <v>Sales Tax Control</v>
      </c>
      <c r="D35" s="21">
        <v>35547.089999999997</v>
      </c>
      <c r="E35" s="21">
        <v>37288.699999999997</v>
      </c>
      <c r="F35" s="21">
        <v>39030.31</v>
      </c>
      <c r="G35" s="21">
        <v>40771.919999999998</v>
      </c>
      <c r="H35" s="21">
        <v>42513.53</v>
      </c>
      <c r="I35" s="21">
        <v>44255.14</v>
      </c>
      <c r="J35" s="21">
        <v>45996.75</v>
      </c>
      <c r="K35" s="21">
        <v>47738.36</v>
      </c>
      <c r="L35" s="21">
        <v>49479.97</v>
      </c>
      <c r="M35" s="21">
        <v>51221.58</v>
      </c>
      <c r="N35" s="21">
        <v>52963.19</v>
      </c>
      <c r="O35" s="21">
        <v>54704.800000000003</v>
      </c>
    </row>
    <row r="36" spans="1:15" ht="16" customHeight="1" x14ac:dyDescent="0.25">
      <c r="A36" s="14" t="str">
        <f ca="1">IF(ISNA(VLOOKUP($B36,KeyAll,COLUMN(Key!$C$4),0))=TRUE,"No key!",VLOOKUP($B36,KeyAll,COLUMN(Key!$C$4),0))</f>
        <v>B-18G</v>
      </c>
      <c r="B36" s="14" t="s">
        <v>178</v>
      </c>
      <c r="C36" s="1" t="str">
        <f ca="1">IF(ISNA(VLOOKUP($B36,KeyAll,COLUMN(Key!$B$4),0))=TRUE,"No key!",VLOOKUP($B36,KeyAll,COLUMN(Key!$B$4),0))</f>
        <v>Long Term Loans</v>
      </c>
      <c r="D36" s="21">
        <v>21574.75</v>
      </c>
      <c r="E36" s="21">
        <v>22244.73</v>
      </c>
      <c r="F36" s="21">
        <v>22914.71</v>
      </c>
      <c r="G36" s="21">
        <v>23584.69</v>
      </c>
      <c r="H36" s="21">
        <v>24254.67</v>
      </c>
      <c r="I36" s="21">
        <v>24924.65</v>
      </c>
      <c r="J36" s="21">
        <v>25594.63</v>
      </c>
      <c r="K36" s="21">
        <v>26264.61</v>
      </c>
      <c r="L36" s="21">
        <v>26934.59</v>
      </c>
      <c r="M36" s="21">
        <v>27604.57</v>
      </c>
      <c r="N36" s="21">
        <v>28274.55</v>
      </c>
      <c r="O36" s="21">
        <v>28944.53</v>
      </c>
    </row>
    <row r="37" spans="1:15" ht="16" customHeight="1" x14ac:dyDescent="0.25">
      <c r="A37" s="14" t="str">
        <f ca="1">IF(ISNA(VLOOKUP($B37,KeyAll,COLUMN(Key!$C$4),0))=TRUE,"No key!",VLOOKUP($B37,KeyAll,COLUMN(Key!$C$4),0))</f>
        <v>B-19G</v>
      </c>
      <c r="B37" s="14" t="s">
        <v>180</v>
      </c>
      <c r="C37" s="1" t="str">
        <f ca="1">IF(ISNA(VLOOKUP($B37,KeyAll,COLUMN(Key!$B$4),0))=TRUE,"No key!",VLOOKUP($B37,KeyAll,COLUMN(Key!$B$4),0))</f>
        <v>Reserves</v>
      </c>
      <c r="D37" s="21">
        <v>3528.41</v>
      </c>
      <c r="E37" s="21">
        <v>3713.87</v>
      </c>
      <c r="F37" s="21">
        <v>3899.33</v>
      </c>
      <c r="G37" s="21">
        <v>4084.79</v>
      </c>
      <c r="H37" s="21">
        <v>4270.25</v>
      </c>
      <c r="I37" s="21">
        <v>4455.71</v>
      </c>
      <c r="J37" s="21">
        <v>4641.17</v>
      </c>
      <c r="K37" s="21">
        <v>4826.63</v>
      </c>
      <c r="L37" s="21">
        <v>5012.09</v>
      </c>
      <c r="M37" s="21">
        <v>5197.55</v>
      </c>
      <c r="N37" s="21">
        <v>5383.01</v>
      </c>
      <c r="O37" s="21">
        <v>5568.46</v>
      </c>
    </row>
    <row r="38" spans="1:15" ht="16" customHeight="1" x14ac:dyDescent="0.25">
      <c r="A38" s="14" t="str">
        <f ca="1">IF(ISNA(VLOOKUP($B38,KeyAll,COLUMN(Key!$C$4),0))=TRUE,"No key!",VLOOKUP($B38,KeyAll,COLUMN(Key!$C$4),0))</f>
        <v>B-20G</v>
      </c>
      <c r="B38" s="14" t="s">
        <v>181</v>
      </c>
      <c r="C38" s="1" t="str">
        <f ca="1">IF(ISNA(VLOOKUP($B38,KeyAll,COLUMN(Key!$B$4),0))=TRUE,"No key!",VLOOKUP($B38,KeyAll,COLUMN(Key!$B$4),0))</f>
        <v>Shareholders' Contributions</v>
      </c>
      <c r="D38" s="21">
        <v>2268.3200000000002</v>
      </c>
      <c r="E38" s="21">
        <v>2422.86</v>
      </c>
      <c r="F38" s="21">
        <v>2577.41</v>
      </c>
      <c r="G38" s="21">
        <v>2731.95</v>
      </c>
      <c r="H38" s="21">
        <v>2886.5</v>
      </c>
      <c r="I38" s="21">
        <v>3041.04</v>
      </c>
      <c r="J38" s="21">
        <v>3195.59</v>
      </c>
      <c r="K38" s="21">
        <v>3350.13</v>
      </c>
      <c r="L38" s="21">
        <v>3504.68</v>
      </c>
      <c r="M38" s="21">
        <v>3659.22</v>
      </c>
      <c r="N38" s="21">
        <v>3813.76</v>
      </c>
      <c r="O38" s="21">
        <v>3968.31</v>
      </c>
    </row>
    <row r="39" spans="1:15" ht="16" customHeight="1" x14ac:dyDescent="0.25">
      <c r="A39" s="14" t="str">
        <f ca="1">IF(ISNA(VLOOKUP($B39,KeyAll,COLUMN(Key!$C$4),0))=TRUE,"No key!",VLOOKUP($B39,KeyAll,COLUMN(Key!$C$4),0))</f>
        <v>I-01G</v>
      </c>
      <c r="B39" s="14" t="s">
        <v>184</v>
      </c>
      <c r="C39" s="1" t="str">
        <f ca="1">IF(ISNA(VLOOKUP($B39,KeyAll,COLUMN(Key!$B$4),0))=TRUE,"No key!",VLOOKUP($B39,KeyAll,COLUMN(Key!$B$4),0))</f>
        <v>Sales - Fruit Juice</v>
      </c>
      <c r="D39" s="21">
        <v>22982.03</v>
      </c>
      <c r="E39" s="21">
        <v>25259.13</v>
      </c>
      <c r="F39" s="21">
        <v>27536.240000000002</v>
      </c>
      <c r="G39" s="21">
        <v>29813.35</v>
      </c>
      <c r="H39" s="21">
        <v>32090.45</v>
      </c>
      <c r="I39" s="21">
        <v>34367.56</v>
      </c>
      <c r="J39" s="21">
        <v>36644.67</v>
      </c>
      <c r="K39" s="21">
        <v>38921.78</v>
      </c>
      <c r="L39" s="21">
        <v>41198.879999999997</v>
      </c>
      <c r="M39" s="21">
        <v>43475.99</v>
      </c>
      <c r="N39" s="21">
        <v>45753.1</v>
      </c>
      <c r="O39" s="21">
        <v>48030.2</v>
      </c>
    </row>
    <row r="40" spans="1:15" ht="16" customHeight="1" x14ac:dyDescent="0.25">
      <c r="A40" s="14" t="str">
        <f ca="1">IF(ISNA(VLOOKUP($B40,KeyAll,COLUMN(Key!$C$4),0))=TRUE,"No key!",VLOOKUP($B40,KeyAll,COLUMN(Key!$C$4),0))</f>
        <v>I-01G</v>
      </c>
      <c r="B40" s="14" t="s">
        <v>186</v>
      </c>
      <c r="C40" s="1" t="str">
        <f ca="1">IF(ISNA(VLOOKUP($B40,KeyAll,COLUMN(Key!$B$4),0))=TRUE,"No key!",VLOOKUP($B40,KeyAll,COLUMN(Key!$B$4),0))</f>
        <v>Sales - Vegetable Juice</v>
      </c>
      <c r="D40" s="21">
        <v>50889.79</v>
      </c>
      <c r="E40" s="21">
        <v>53124.37</v>
      </c>
      <c r="F40" s="21">
        <v>55358.94</v>
      </c>
      <c r="G40" s="21">
        <v>57593.52</v>
      </c>
      <c r="H40" s="21">
        <v>59828.09</v>
      </c>
      <c r="I40" s="21">
        <v>62062.67</v>
      </c>
      <c r="J40" s="21">
        <v>64297.24</v>
      </c>
      <c r="K40" s="21">
        <v>66531.820000000007</v>
      </c>
      <c r="L40" s="21">
        <v>68766.399999999994</v>
      </c>
      <c r="M40" s="21">
        <v>71000.97</v>
      </c>
      <c r="N40" s="21">
        <v>73235.55</v>
      </c>
      <c r="O40" s="21">
        <v>75470.12</v>
      </c>
    </row>
    <row r="41" spans="1:15" ht="16" customHeight="1" x14ac:dyDescent="0.25">
      <c r="A41" s="14" t="str">
        <f ca="1">IF(ISNA(VLOOKUP($B41,KeyAll,COLUMN(Key!$C$4),0))=TRUE,"No key!",VLOOKUP($B41,KeyAll,COLUMN(Key!$C$4),0))</f>
        <v>I-02G</v>
      </c>
      <c r="B41" s="14" t="s">
        <v>188</v>
      </c>
      <c r="C41" s="1" t="str">
        <f ca="1">IF(ISNA(VLOOKUP($B41,KeyAll,COLUMN(Key!$B$4),0))=TRUE,"No key!",VLOOKUP($B41,KeyAll,COLUMN(Key!$B$4),0))</f>
        <v>Cost of Sales - Fruit Juice</v>
      </c>
      <c r="D41" s="21">
        <v>20220.88</v>
      </c>
      <c r="E41" s="21">
        <v>21981.77</v>
      </c>
      <c r="F41" s="21">
        <v>23742.65</v>
      </c>
      <c r="G41" s="21">
        <v>25503.53</v>
      </c>
      <c r="H41" s="21">
        <v>27264.41</v>
      </c>
      <c r="I41" s="21">
        <v>29025.29</v>
      </c>
      <c r="J41" s="21">
        <v>30786.17</v>
      </c>
      <c r="K41" s="21">
        <v>32547.05</v>
      </c>
      <c r="L41" s="21">
        <v>34307.93</v>
      </c>
      <c r="M41" s="21">
        <v>36068.82</v>
      </c>
      <c r="N41" s="21">
        <v>37829.699999999997</v>
      </c>
      <c r="O41" s="21">
        <v>39590.58</v>
      </c>
    </row>
    <row r="42" spans="1:15" ht="16" customHeight="1" x14ac:dyDescent="0.25">
      <c r="A42" s="14" t="str">
        <f ca="1">IF(ISNA(VLOOKUP($B42,KeyAll,COLUMN(Key!$C$4),0))=TRUE,"No key!",VLOOKUP($B42,KeyAll,COLUMN(Key!$C$4),0))</f>
        <v>I-02G</v>
      </c>
      <c r="B42" s="14" t="s">
        <v>190</v>
      </c>
      <c r="C42" s="1" t="str">
        <f ca="1">IF(ISNA(VLOOKUP($B42,KeyAll,COLUMN(Key!$B$4),0))=TRUE,"No key!",VLOOKUP($B42,KeyAll,COLUMN(Key!$B$4),0))</f>
        <v>Cost of Sales - Vegetable Juice</v>
      </c>
      <c r="D42" s="21">
        <v>48274.29</v>
      </c>
      <c r="E42" s="21">
        <v>52185.98</v>
      </c>
      <c r="F42" s="21">
        <v>56097.67</v>
      </c>
      <c r="G42" s="21">
        <v>60009.36</v>
      </c>
      <c r="H42" s="21">
        <v>63921.05</v>
      </c>
      <c r="I42" s="21">
        <v>67832.740000000005</v>
      </c>
      <c r="J42" s="21">
        <v>71744.44</v>
      </c>
      <c r="K42" s="21">
        <v>75656.13</v>
      </c>
      <c r="L42" s="21">
        <v>79567.820000000007</v>
      </c>
      <c r="M42" s="21">
        <v>83479.509999999995</v>
      </c>
      <c r="N42" s="21">
        <v>87391.2</v>
      </c>
      <c r="O42" s="21">
        <v>91302.89</v>
      </c>
    </row>
    <row r="43" spans="1:15" ht="16" customHeight="1" x14ac:dyDescent="0.25">
      <c r="A43" s="14" t="str">
        <f ca="1">IF(ISNA(VLOOKUP($B43,KeyAll,COLUMN(Key!$C$4),0))=TRUE,"No key!",VLOOKUP($B43,KeyAll,COLUMN(Key!$C$4),0))</f>
        <v>I-02G</v>
      </c>
      <c r="B43" s="14" t="s">
        <v>192</v>
      </c>
      <c r="C43" s="1" t="str">
        <f ca="1">IF(ISNA(VLOOKUP($B43,KeyAll,COLUMN(Key!$B$4),0))=TRUE,"No key!",VLOOKUP($B43,KeyAll,COLUMN(Key!$B$4),0))</f>
        <v>Cost of Sales - Direct Costs</v>
      </c>
      <c r="D43" s="21">
        <v>50850.81</v>
      </c>
      <c r="E43" s="21">
        <v>52639.9</v>
      </c>
      <c r="F43" s="21">
        <v>54429</v>
      </c>
      <c r="G43" s="21">
        <v>56218.09</v>
      </c>
      <c r="H43" s="21">
        <v>58007.18</v>
      </c>
      <c r="I43" s="21">
        <v>59796.27</v>
      </c>
      <c r="J43" s="21">
        <v>61585.36</v>
      </c>
      <c r="K43" s="21">
        <v>63374.45</v>
      </c>
      <c r="L43" s="21">
        <v>65163.54</v>
      </c>
      <c r="M43" s="21">
        <v>66952.63</v>
      </c>
      <c r="N43" s="21">
        <v>68741.72</v>
      </c>
      <c r="O43" s="21">
        <v>70530.81</v>
      </c>
    </row>
    <row r="44" spans="1:15" ht="16" customHeight="1" x14ac:dyDescent="0.25">
      <c r="A44" s="14" t="str">
        <f ca="1">IF(ISNA(VLOOKUP($B44,KeyAll,COLUMN(Key!$C$4),0))=TRUE,"No key!",VLOOKUP($B44,KeyAll,COLUMN(Key!$C$4),0))</f>
        <v>I-0301G</v>
      </c>
      <c r="B44" s="14" t="s">
        <v>205</v>
      </c>
      <c r="C44" s="1" t="str">
        <f ca="1">IF(ISNA(VLOOKUP($B44,KeyAll,COLUMN(Key!$B$4),0))=TRUE,"No key!",VLOOKUP($B44,KeyAll,COLUMN(Key!$B$4),0))</f>
        <v>Accounting Fees</v>
      </c>
      <c r="D44" s="21">
        <v>4226.1899999999996</v>
      </c>
      <c r="E44" s="21">
        <v>4340.1000000000004</v>
      </c>
      <c r="F44" s="21">
        <v>4454</v>
      </c>
      <c r="G44" s="21">
        <v>4567.91</v>
      </c>
      <c r="H44" s="21">
        <v>4681.8100000000004</v>
      </c>
      <c r="I44" s="21">
        <v>4795.72</v>
      </c>
      <c r="J44" s="21">
        <v>4909.62</v>
      </c>
      <c r="K44" s="21">
        <v>5023.53</v>
      </c>
      <c r="L44" s="21">
        <v>5137.43</v>
      </c>
      <c r="M44" s="21">
        <v>5251.34</v>
      </c>
      <c r="N44" s="21">
        <v>5365.24</v>
      </c>
      <c r="O44" s="21">
        <v>5479.15</v>
      </c>
    </row>
    <row r="45" spans="1:15" ht="16" customHeight="1" x14ac:dyDescent="0.25">
      <c r="A45" s="14" t="str">
        <f ca="1">IF(ISNA(VLOOKUP($B45,KeyAll,COLUMN(Key!$C$4),0))=TRUE,"No key!",VLOOKUP($B45,KeyAll,COLUMN(Key!$C$4),0))</f>
        <v>I-0302G</v>
      </c>
      <c r="B45" s="14" t="s">
        <v>206</v>
      </c>
      <c r="C45" s="1" t="str">
        <f ca="1">IF(ISNA(VLOOKUP($B45,KeyAll,COLUMN(Key!$B$4),0))=TRUE,"No key!",VLOOKUP($B45,KeyAll,COLUMN(Key!$B$4),0))</f>
        <v>Advertising &amp; Marketing</v>
      </c>
      <c r="D45" s="21">
        <v>8767.93</v>
      </c>
      <c r="E45" s="21">
        <v>9271.19</v>
      </c>
      <c r="F45" s="21">
        <v>9774.4500000000007</v>
      </c>
      <c r="G45" s="21">
        <v>10277.709999999999</v>
      </c>
      <c r="H45" s="21">
        <v>10780.97</v>
      </c>
      <c r="I45" s="21">
        <v>11284.23</v>
      </c>
      <c r="J45" s="21">
        <v>11787.5</v>
      </c>
      <c r="K45" s="21">
        <v>12290.76</v>
      </c>
      <c r="L45" s="21">
        <v>12794.02</v>
      </c>
      <c r="M45" s="21">
        <v>13297.28</v>
      </c>
      <c r="N45" s="21">
        <v>13800.54</v>
      </c>
      <c r="O45" s="21">
        <v>14303.8</v>
      </c>
    </row>
    <row r="46" spans="1:15" ht="16" customHeight="1" x14ac:dyDescent="0.25">
      <c r="A46" s="14" t="str">
        <f ca="1">IF(ISNA(VLOOKUP($B46,KeyAll,COLUMN(Key!$C$4),0))=TRUE,"No key!",VLOOKUP($B46,KeyAll,COLUMN(Key!$C$4),0))</f>
        <v>I-0303G</v>
      </c>
      <c r="B46" s="14" t="s">
        <v>207</v>
      </c>
      <c r="C46" s="1" t="str">
        <f ca="1">IF(ISNA(VLOOKUP($B46,KeyAll,COLUMN(Key!$B$4),0))=TRUE,"No key!",VLOOKUP($B46,KeyAll,COLUMN(Key!$B$4),0))</f>
        <v>Bank Charges</v>
      </c>
      <c r="D46" s="21">
        <v>13272.45</v>
      </c>
      <c r="E46" s="21">
        <v>13438.92</v>
      </c>
      <c r="F46" s="21">
        <v>13605.39</v>
      </c>
      <c r="G46" s="21">
        <v>13771.85</v>
      </c>
      <c r="H46" s="21">
        <v>13938.32</v>
      </c>
      <c r="I46" s="21">
        <v>14104.79</v>
      </c>
      <c r="J46" s="21">
        <v>14271.26</v>
      </c>
      <c r="K46" s="21">
        <v>14437.72</v>
      </c>
      <c r="L46" s="21">
        <v>14604.19</v>
      </c>
      <c r="M46" s="21">
        <v>14770.66</v>
      </c>
      <c r="N46" s="21">
        <v>14937.13</v>
      </c>
      <c r="O46" s="21">
        <v>15103.59</v>
      </c>
    </row>
    <row r="47" spans="1:15" ht="16" customHeight="1" x14ac:dyDescent="0.25">
      <c r="A47" s="14" t="str">
        <f ca="1">IF(ISNA(VLOOKUP($B47,KeyAll,COLUMN(Key!$C$4),0))=TRUE,"No key!",VLOOKUP($B47,KeyAll,COLUMN(Key!$C$4),0))</f>
        <v>I-0304G</v>
      </c>
      <c r="B47" s="14" t="s">
        <v>208</v>
      </c>
      <c r="C47" s="1" t="str">
        <f ca="1">IF(ISNA(VLOOKUP($B47,KeyAll,COLUMN(Key!$B$4),0))=TRUE,"No key!",VLOOKUP($B47,KeyAll,COLUMN(Key!$B$4),0))</f>
        <v>Commission</v>
      </c>
      <c r="D47" s="21">
        <v>3798.84</v>
      </c>
      <c r="E47" s="21">
        <v>3948.94</v>
      </c>
      <c r="F47" s="21">
        <v>4099.03</v>
      </c>
      <c r="G47" s="21">
        <v>4249.13</v>
      </c>
      <c r="H47" s="21">
        <v>4399.22</v>
      </c>
      <c r="I47" s="21">
        <v>4549.32</v>
      </c>
      <c r="J47" s="21">
        <v>4699.42</v>
      </c>
      <c r="K47" s="21">
        <v>4849.51</v>
      </c>
      <c r="L47" s="21">
        <v>4999.6099999999997</v>
      </c>
      <c r="M47" s="21">
        <v>5149.7</v>
      </c>
      <c r="N47" s="21">
        <v>5299.8</v>
      </c>
      <c r="O47" s="21">
        <v>5449.9</v>
      </c>
    </row>
    <row r="48" spans="1:15" ht="16" customHeight="1" x14ac:dyDescent="0.25">
      <c r="A48" s="14" t="str">
        <f ca="1">IF(ISNA(VLOOKUP($B48,KeyAll,COLUMN(Key!$C$4),0))=TRUE,"No key!",VLOOKUP($B48,KeyAll,COLUMN(Key!$C$4),0))</f>
        <v>I-0305G</v>
      </c>
      <c r="B48" s="14" t="s">
        <v>209</v>
      </c>
      <c r="C48" s="1" t="str">
        <f ca="1">IF(ISNA(VLOOKUP($B48,KeyAll,COLUMN(Key!$B$4),0))=TRUE,"No key!",VLOOKUP($B48,KeyAll,COLUMN(Key!$B$4),0))</f>
        <v>Computer Expenses</v>
      </c>
      <c r="D48" s="21">
        <v>7566.46</v>
      </c>
      <c r="E48" s="21">
        <v>8007.23</v>
      </c>
      <c r="F48" s="21">
        <v>8448</v>
      </c>
      <c r="G48" s="21">
        <v>8888.77</v>
      </c>
      <c r="H48" s="21">
        <v>9329.5400000000009</v>
      </c>
      <c r="I48" s="21">
        <v>9770.32</v>
      </c>
      <c r="J48" s="21">
        <v>10211.09</v>
      </c>
      <c r="K48" s="21">
        <v>10651.86</v>
      </c>
      <c r="L48" s="21">
        <v>11092.63</v>
      </c>
      <c r="M48" s="21">
        <v>11533.4</v>
      </c>
      <c r="N48" s="21">
        <v>11974.18</v>
      </c>
      <c r="O48" s="21">
        <v>12414.95</v>
      </c>
    </row>
    <row r="49" spans="1:15" ht="16" customHeight="1" x14ac:dyDescent="0.25">
      <c r="A49" s="14" t="str">
        <f ca="1">IF(ISNA(VLOOKUP($B49,KeyAll,COLUMN(Key!$C$4),0))=TRUE,"No key!",VLOOKUP($B49,KeyAll,COLUMN(Key!$C$4),0))</f>
        <v>I-0306G</v>
      </c>
      <c r="B49" s="14" t="s">
        <v>210</v>
      </c>
      <c r="C49" s="1" t="str">
        <f ca="1">IF(ISNA(VLOOKUP($B49,KeyAll,COLUMN(Key!$B$4),0))=TRUE,"No key!",VLOOKUP($B49,KeyAll,COLUMN(Key!$B$4),0))</f>
        <v>Consumables &amp; Cleaning</v>
      </c>
      <c r="D49" s="21">
        <v>8984.91</v>
      </c>
      <c r="E49" s="21">
        <v>9419.18</v>
      </c>
      <c r="F49" s="21">
        <v>9853.4500000000007</v>
      </c>
      <c r="G49" s="21">
        <v>10287.719999999999</v>
      </c>
      <c r="H49" s="21">
        <v>10721.98</v>
      </c>
      <c r="I49" s="21">
        <v>11156.25</v>
      </c>
      <c r="J49" s="21">
        <v>11590.52</v>
      </c>
      <c r="K49" s="21">
        <v>12024.78</v>
      </c>
      <c r="L49" s="21">
        <v>12459.05</v>
      </c>
      <c r="M49" s="21">
        <v>12893.32</v>
      </c>
      <c r="N49" s="21">
        <v>13327.58</v>
      </c>
      <c r="O49" s="21">
        <v>13761.85</v>
      </c>
    </row>
    <row r="50" spans="1:15" ht="16" customHeight="1" x14ac:dyDescent="0.25">
      <c r="A50" s="14" t="str">
        <f ca="1">IF(ISNA(VLOOKUP($B50,KeyAll,COLUMN(Key!$C$4),0))=TRUE,"No key!",VLOOKUP($B50,KeyAll,COLUMN(Key!$C$4),0))</f>
        <v>I-0307G</v>
      </c>
      <c r="B50" s="14" t="s">
        <v>211</v>
      </c>
      <c r="C50" s="1" t="str">
        <f ca="1">IF(ISNA(VLOOKUP($B50,KeyAll,COLUMN(Key!$B$4),0))=TRUE,"No key!",VLOOKUP($B50,KeyAll,COLUMN(Key!$B$4),0))</f>
        <v>Entertainment</v>
      </c>
      <c r="D50" s="21">
        <v>2076.35</v>
      </c>
      <c r="E50" s="21">
        <v>2206.73</v>
      </c>
      <c r="F50" s="21">
        <v>2337.12</v>
      </c>
      <c r="G50" s="21">
        <v>2467.5</v>
      </c>
      <c r="H50" s="21">
        <v>2597.88</v>
      </c>
      <c r="I50" s="21">
        <v>2728.27</v>
      </c>
      <c r="J50" s="21">
        <v>2858.65</v>
      </c>
      <c r="K50" s="21">
        <v>2989.03</v>
      </c>
      <c r="L50" s="21">
        <v>3119.42</v>
      </c>
      <c r="M50" s="21">
        <v>3249.8</v>
      </c>
      <c r="N50" s="21">
        <v>3380.18</v>
      </c>
      <c r="O50" s="21">
        <v>3510.57</v>
      </c>
    </row>
    <row r="51" spans="1:15" ht="16" customHeight="1" x14ac:dyDescent="0.25">
      <c r="A51" s="14" t="str">
        <f ca="1">IF(ISNA(VLOOKUP($B51,KeyAll,COLUMN(Key!$C$4),0))=TRUE,"No key!",VLOOKUP($B51,KeyAll,COLUMN(Key!$C$4),0))</f>
        <v>I-0308G</v>
      </c>
      <c r="B51" s="14" t="s">
        <v>212</v>
      </c>
      <c r="C51" s="1" t="str">
        <f ca="1">IF(ISNA(VLOOKUP($B51,KeyAll,COLUMN(Key!$B$4),0))=TRUE,"No key!",VLOOKUP($B51,KeyAll,COLUMN(Key!$B$4),0))</f>
        <v>Insurance</v>
      </c>
      <c r="D51" s="21">
        <v>7847.07</v>
      </c>
      <c r="E51" s="21">
        <v>8268.27</v>
      </c>
      <c r="F51" s="21">
        <v>8689.4699999999993</v>
      </c>
      <c r="G51" s="21">
        <v>9110.68</v>
      </c>
      <c r="H51" s="21">
        <v>9531.8799999999992</v>
      </c>
      <c r="I51" s="21">
        <v>9953.09</v>
      </c>
      <c r="J51" s="21">
        <v>10374.290000000001</v>
      </c>
      <c r="K51" s="21">
        <v>10795.49</v>
      </c>
      <c r="L51" s="21">
        <v>11216.7</v>
      </c>
      <c r="M51" s="21">
        <v>11637.9</v>
      </c>
      <c r="N51" s="21">
        <v>12059.11</v>
      </c>
      <c r="O51" s="21">
        <v>12480.31</v>
      </c>
    </row>
    <row r="52" spans="1:15" ht="16" customHeight="1" x14ac:dyDescent="0.25">
      <c r="A52" s="14" t="str">
        <f ca="1">IF(ISNA(VLOOKUP($B52,KeyAll,COLUMN(Key!$C$4),0))=TRUE,"No key!",VLOOKUP($B52,KeyAll,COLUMN(Key!$C$4),0))</f>
        <v>I-0309G</v>
      </c>
      <c r="B52" s="14" t="s">
        <v>213</v>
      </c>
      <c r="C52" s="1" t="str">
        <f ca="1">IF(ISNA(VLOOKUP($B52,KeyAll,COLUMN(Key!$B$4),0))=TRUE,"No key!",VLOOKUP($B52,KeyAll,COLUMN(Key!$B$4),0))</f>
        <v>Office Expenses</v>
      </c>
      <c r="D52" s="21">
        <v>7938.7</v>
      </c>
      <c r="E52" s="21">
        <v>8332.68</v>
      </c>
      <c r="F52" s="21">
        <v>8726.66</v>
      </c>
      <c r="G52" s="21">
        <v>9120.64</v>
      </c>
      <c r="H52" s="21">
        <v>9514.6200000000008</v>
      </c>
      <c r="I52" s="21">
        <v>9908.6</v>
      </c>
      <c r="J52" s="21">
        <v>10302.58</v>
      </c>
      <c r="K52" s="21">
        <v>10696.56</v>
      </c>
      <c r="L52" s="21">
        <v>11090.54</v>
      </c>
      <c r="M52" s="21">
        <v>11484.52</v>
      </c>
      <c r="N52" s="21">
        <v>11878.5</v>
      </c>
      <c r="O52" s="21">
        <v>12272.48</v>
      </c>
    </row>
    <row r="53" spans="1:15" ht="16" customHeight="1" x14ac:dyDescent="0.25">
      <c r="A53" s="14" t="str">
        <f ca="1">IF(ISNA(VLOOKUP($B53,KeyAll,COLUMN(Key!$C$4),0))=TRUE,"No key!",VLOOKUP($B53,KeyAll,COLUMN(Key!$C$4),0))</f>
        <v>I-0310G</v>
      </c>
      <c r="B53" s="14" t="s">
        <v>214</v>
      </c>
      <c r="C53" s="1" t="str">
        <f ca="1">IF(ISNA(VLOOKUP($B53,KeyAll,COLUMN(Key!$B$4),0))=TRUE,"No key!",VLOOKUP($B53,KeyAll,COLUMN(Key!$B$4),0))</f>
        <v>Office Rent</v>
      </c>
      <c r="D53" s="21">
        <v>16886.46</v>
      </c>
      <c r="E53" s="21">
        <v>17271.91</v>
      </c>
      <c r="F53" s="21">
        <v>17657.37</v>
      </c>
      <c r="G53" s="21">
        <v>18042.82</v>
      </c>
      <c r="H53" s="21">
        <v>18428.27</v>
      </c>
      <c r="I53" s="21">
        <v>18813.73</v>
      </c>
      <c r="J53" s="21">
        <v>19199.18</v>
      </c>
      <c r="K53" s="21">
        <v>19584.64</v>
      </c>
      <c r="L53" s="21">
        <v>19970.09</v>
      </c>
      <c r="M53" s="21">
        <v>20355.55</v>
      </c>
      <c r="N53" s="21">
        <v>20741</v>
      </c>
      <c r="O53" s="21">
        <v>21126.45</v>
      </c>
    </row>
    <row r="54" spans="1:15" ht="16" customHeight="1" x14ac:dyDescent="0.25">
      <c r="A54" s="14" t="str">
        <f ca="1">IF(ISNA(VLOOKUP($B54,KeyAll,COLUMN(Key!$C$4),0))=TRUE,"No key!",VLOOKUP($B54,KeyAll,COLUMN(Key!$C$4),0))</f>
        <v>I-0311G</v>
      </c>
      <c r="B54" s="14" t="s">
        <v>215</v>
      </c>
      <c r="C54" s="1" t="str">
        <f ca="1">IF(ISNA(VLOOKUP($B54,KeyAll,COLUMN(Key!$B$4),0))=TRUE,"No key!",VLOOKUP($B54,KeyAll,COLUMN(Key!$B$4),0))</f>
        <v>Postage</v>
      </c>
      <c r="D54" s="21">
        <v>1228.77</v>
      </c>
      <c r="E54" s="21">
        <v>1261.3</v>
      </c>
      <c r="F54" s="21">
        <v>1293.83</v>
      </c>
      <c r="G54" s="21">
        <v>1326.36</v>
      </c>
      <c r="H54" s="21">
        <v>1358.89</v>
      </c>
      <c r="I54" s="21">
        <v>1391.42</v>
      </c>
      <c r="J54" s="21">
        <v>1423.95</v>
      </c>
      <c r="K54" s="21">
        <v>1456.48</v>
      </c>
      <c r="L54" s="21">
        <v>1489.01</v>
      </c>
      <c r="M54" s="21">
        <v>1521.54</v>
      </c>
      <c r="N54" s="21">
        <v>1554.07</v>
      </c>
      <c r="O54" s="21">
        <v>1586.6</v>
      </c>
    </row>
    <row r="55" spans="1:15" ht="16" customHeight="1" x14ac:dyDescent="0.25">
      <c r="A55" s="14" t="str">
        <f ca="1">IF(ISNA(VLOOKUP($B55,KeyAll,COLUMN(Key!$C$4),0))=TRUE,"No key!",VLOOKUP($B55,KeyAll,COLUMN(Key!$C$4),0))</f>
        <v>I-0312G</v>
      </c>
      <c r="B55" s="14" t="s">
        <v>216</v>
      </c>
      <c r="C55" s="1" t="str">
        <f ca="1">IF(ISNA(VLOOKUP($B55,KeyAll,COLUMN(Key!$B$4),0))=TRUE,"No key!",VLOOKUP($B55,KeyAll,COLUMN(Key!$B$4),0))</f>
        <v>Professional &amp; Legal Fees</v>
      </c>
      <c r="D55" s="21">
        <v>1282.8599999999999</v>
      </c>
      <c r="E55" s="21">
        <v>1357.51</v>
      </c>
      <c r="F55" s="21">
        <v>1432.15</v>
      </c>
      <c r="G55" s="21">
        <v>1506.79</v>
      </c>
      <c r="H55" s="21">
        <v>1581.43</v>
      </c>
      <c r="I55" s="21">
        <v>1656.08</v>
      </c>
      <c r="J55" s="21">
        <v>1730.72</v>
      </c>
      <c r="K55" s="21">
        <v>1805.36</v>
      </c>
      <c r="L55" s="21">
        <v>1880.01</v>
      </c>
      <c r="M55" s="21">
        <v>1954.65</v>
      </c>
      <c r="N55" s="21">
        <v>2029.29</v>
      </c>
      <c r="O55" s="21">
        <v>2103.9299999999998</v>
      </c>
    </row>
    <row r="56" spans="1:15" ht="16" customHeight="1" x14ac:dyDescent="0.25">
      <c r="A56" s="14" t="str">
        <f ca="1">IF(ISNA(VLOOKUP($B56,KeyAll,COLUMN(Key!$C$4),0))=TRUE,"No key!",VLOOKUP($B56,KeyAll,COLUMN(Key!$C$4),0))</f>
        <v>I-0313G</v>
      </c>
      <c r="B56" s="14" t="s">
        <v>217</v>
      </c>
      <c r="C56" s="1" t="str">
        <f ca="1">IF(ISNA(VLOOKUP($B56,KeyAll,COLUMN(Key!$B$4),0))=TRUE,"No key!",VLOOKUP($B56,KeyAll,COLUMN(Key!$B$4),0))</f>
        <v>Stationery</v>
      </c>
      <c r="D56" s="21">
        <v>3829.2</v>
      </c>
      <c r="E56" s="21">
        <v>4022.63</v>
      </c>
      <c r="F56" s="21">
        <v>4216.0600000000004</v>
      </c>
      <c r="G56" s="21">
        <v>4409.49</v>
      </c>
      <c r="H56" s="21">
        <v>4602.92</v>
      </c>
      <c r="I56" s="21">
        <v>4796.3500000000004</v>
      </c>
      <c r="J56" s="21">
        <v>4989.78</v>
      </c>
      <c r="K56" s="21">
        <v>5183.21</v>
      </c>
      <c r="L56" s="21">
        <v>5376.64</v>
      </c>
      <c r="M56" s="21">
        <v>5570.07</v>
      </c>
      <c r="N56" s="21">
        <v>5763.5</v>
      </c>
      <c r="O56" s="21">
        <v>5956.93</v>
      </c>
    </row>
    <row r="57" spans="1:15" ht="16" customHeight="1" x14ac:dyDescent="0.25">
      <c r="A57" s="14" t="str">
        <f ca="1">IF(ISNA(VLOOKUP($B57,KeyAll,COLUMN(Key!$C$4),0))=TRUE,"No key!",VLOOKUP($B57,KeyAll,COLUMN(Key!$C$4),0))</f>
        <v>I-0314G</v>
      </c>
      <c r="B57" s="14" t="s">
        <v>218</v>
      </c>
      <c r="C57" s="1" t="str">
        <f ca="1">IF(ISNA(VLOOKUP($B57,KeyAll,COLUMN(Key!$B$4),0))=TRUE,"No key!",VLOOKUP($B57,KeyAll,COLUMN(Key!$B$4),0))</f>
        <v>Subscriptions &amp; Memberships</v>
      </c>
      <c r="D57" s="21">
        <v>9168.1</v>
      </c>
      <c r="E57" s="21">
        <v>9488.59</v>
      </c>
      <c r="F57" s="21">
        <v>9809.09</v>
      </c>
      <c r="G57" s="21">
        <v>10129.58</v>
      </c>
      <c r="H57" s="21">
        <v>10450.07</v>
      </c>
      <c r="I57" s="21">
        <v>10770.57</v>
      </c>
      <c r="J57" s="21">
        <v>11091.06</v>
      </c>
      <c r="K57" s="21">
        <v>11411.56</v>
      </c>
      <c r="L57" s="21">
        <v>11732.05</v>
      </c>
      <c r="M57" s="21">
        <v>12052.55</v>
      </c>
      <c r="N57" s="21">
        <v>12373.04</v>
      </c>
      <c r="O57" s="21">
        <v>12693.53</v>
      </c>
    </row>
    <row r="58" spans="1:15" ht="16" customHeight="1" x14ac:dyDescent="0.25">
      <c r="A58" s="14" t="str">
        <f ca="1">IF(ISNA(VLOOKUP($B58,KeyAll,COLUMN(Key!$C$4),0))=TRUE,"No key!",VLOOKUP($B58,KeyAll,COLUMN(Key!$C$4),0))</f>
        <v>I-0315G</v>
      </c>
      <c r="B58" s="14" t="s">
        <v>219</v>
      </c>
      <c r="C58" s="1" t="str">
        <f ca="1">IF(ISNA(VLOOKUP($B58,KeyAll,COLUMN(Key!$B$4),0))=TRUE,"No key!",VLOOKUP($B58,KeyAll,COLUMN(Key!$B$4),0))</f>
        <v>Telephone &amp; Internet</v>
      </c>
      <c r="D58" s="21">
        <v>4693.45</v>
      </c>
      <c r="E58" s="21">
        <v>5000.08</v>
      </c>
      <c r="F58" s="21">
        <v>5306.72</v>
      </c>
      <c r="G58" s="21">
        <v>5613.36</v>
      </c>
      <c r="H58" s="21">
        <v>5920</v>
      </c>
      <c r="I58" s="21">
        <v>6226.63</v>
      </c>
      <c r="J58" s="21">
        <v>6533.27</v>
      </c>
      <c r="K58" s="21">
        <v>6839.91</v>
      </c>
      <c r="L58" s="21">
        <v>7146.54</v>
      </c>
      <c r="M58" s="21">
        <v>7453.18</v>
      </c>
      <c r="N58" s="21">
        <v>7759.82</v>
      </c>
      <c r="O58" s="21">
        <v>8066.46</v>
      </c>
    </row>
    <row r="59" spans="1:15" ht="16" customHeight="1" x14ac:dyDescent="0.25">
      <c r="A59" s="14" t="str">
        <f ca="1">IF(ISNA(VLOOKUP($B59,KeyAll,COLUMN(Key!$C$4),0))=TRUE,"No key!",VLOOKUP($B59,KeyAll,COLUMN(Key!$C$4),0))</f>
        <v>I-0316G</v>
      </c>
      <c r="B59" s="14" t="s">
        <v>220</v>
      </c>
      <c r="C59" s="1" t="str">
        <f ca="1">IF(ISNA(VLOOKUP($B59,KeyAll,COLUMN(Key!$B$4),0))=TRUE,"No key!",VLOOKUP($B59,KeyAll,COLUMN(Key!$B$4),0))</f>
        <v>Training</v>
      </c>
      <c r="D59" s="21">
        <v>3059.18</v>
      </c>
      <c r="E59" s="21">
        <v>3134.5</v>
      </c>
      <c r="F59" s="21">
        <v>3209.81</v>
      </c>
      <c r="G59" s="21">
        <v>3285.12</v>
      </c>
      <c r="H59" s="21">
        <v>3360.44</v>
      </c>
      <c r="I59" s="21">
        <v>3435.75</v>
      </c>
      <c r="J59" s="21">
        <v>3511.06</v>
      </c>
      <c r="K59" s="21">
        <v>3586.38</v>
      </c>
      <c r="L59" s="21">
        <v>3661.69</v>
      </c>
      <c r="M59" s="21">
        <v>3737</v>
      </c>
      <c r="N59" s="21">
        <v>3812.32</v>
      </c>
      <c r="O59" s="21">
        <v>3887.63</v>
      </c>
    </row>
    <row r="60" spans="1:15" ht="16" customHeight="1" x14ac:dyDescent="0.25">
      <c r="A60" s="14" t="str">
        <f ca="1">IF(ISNA(VLOOKUP($B60,KeyAll,COLUMN(Key!$C$4),0))=TRUE,"No key!",VLOOKUP($B60,KeyAll,COLUMN(Key!$C$4),0))</f>
        <v>I-0317G</v>
      </c>
      <c r="B60" s="14" t="s">
        <v>221</v>
      </c>
      <c r="C60" s="1" t="str">
        <f ca="1">IF(ISNA(VLOOKUP($B60,KeyAll,COLUMN(Key!$B$4),0))=TRUE,"No key!",VLOOKUP($B60,KeyAll,COLUMN(Key!$B$4),0))</f>
        <v>Travelling &amp; Accommodation</v>
      </c>
      <c r="D60" s="21">
        <v>3607.76</v>
      </c>
      <c r="E60" s="21">
        <v>3714.82</v>
      </c>
      <c r="F60" s="21">
        <v>3821.87</v>
      </c>
      <c r="G60" s="21">
        <v>3928.93</v>
      </c>
      <c r="H60" s="21">
        <v>4035.98</v>
      </c>
      <c r="I60" s="21">
        <v>4143.03</v>
      </c>
      <c r="J60" s="21">
        <v>4250.09</v>
      </c>
      <c r="K60" s="21">
        <v>4357.1400000000003</v>
      </c>
      <c r="L60" s="21">
        <v>4464.2</v>
      </c>
      <c r="M60" s="21">
        <v>4571.25</v>
      </c>
      <c r="N60" s="21">
        <v>4678.3</v>
      </c>
      <c r="O60" s="21">
        <v>4785.3599999999997</v>
      </c>
    </row>
    <row r="61" spans="1:15" ht="16" customHeight="1" x14ac:dyDescent="0.25">
      <c r="A61" s="14" t="str">
        <f ca="1">IF(ISNA(VLOOKUP($B61,KeyAll,COLUMN(Key!$C$4),0))=TRUE,"No key!",VLOOKUP($B61,KeyAll,COLUMN(Key!$C$4),0))</f>
        <v>I-0318G</v>
      </c>
      <c r="B61" s="14" t="s">
        <v>222</v>
      </c>
      <c r="C61" s="1" t="str">
        <f ca="1">IF(ISNA(VLOOKUP($B61,KeyAll,COLUMN(Key!$B$4),0))=TRUE,"No key!",VLOOKUP($B61,KeyAll,COLUMN(Key!$B$4),0))</f>
        <v>Utilities</v>
      </c>
      <c r="D61" s="21">
        <v>9367.2800000000007</v>
      </c>
      <c r="E61" s="21">
        <v>10008.82</v>
      </c>
      <c r="F61" s="21">
        <v>10650.36</v>
      </c>
      <c r="G61" s="21">
        <v>11291.9</v>
      </c>
      <c r="H61" s="21">
        <v>11933.43</v>
      </c>
      <c r="I61" s="21">
        <v>12574.97</v>
      </c>
      <c r="J61" s="21">
        <v>13216.51</v>
      </c>
      <c r="K61" s="21">
        <v>13858.05</v>
      </c>
      <c r="L61" s="21">
        <v>14499.59</v>
      </c>
      <c r="M61" s="21">
        <v>15141.13</v>
      </c>
      <c r="N61" s="21">
        <v>15782.67</v>
      </c>
      <c r="O61" s="21">
        <v>16424.21</v>
      </c>
    </row>
    <row r="62" spans="1:15" ht="16" customHeight="1" x14ac:dyDescent="0.25">
      <c r="A62" s="14" t="str">
        <f ca="1">IF(ISNA(VLOOKUP($B62,KeyAll,COLUMN(Key!$C$4),0))=TRUE,"No key!",VLOOKUP($B62,KeyAll,COLUMN(Key!$C$4),0))</f>
        <v>I-0401G</v>
      </c>
      <c r="B62" s="14" t="s">
        <v>223</v>
      </c>
      <c r="C62" s="1" t="str">
        <f ca="1">IF(ISNA(VLOOKUP($B62,KeyAll,COLUMN(Key!$B$4),0))=TRUE,"No key!",VLOOKUP($B62,KeyAll,COLUMN(Key!$B$4),0))</f>
        <v>Salaries &amp; Wages - Staff</v>
      </c>
      <c r="D62" s="21">
        <v>30835.09</v>
      </c>
      <c r="E62" s="21">
        <v>32238.13</v>
      </c>
      <c r="F62" s="21">
        <v>33641.160000000003</v>
      </c>
      <c r="G62" s="21">
        <v>35044.19</v>
      </c>
      <c r="H62" s="21">
        <v>36447.22</v>
      </c>
      <c r="I62" s="21">
        <v>37850.25</v>
      </c>
      <c r="J62" s="21">
        <v>39253.279999999999</v>
      </c>
      <c r="K62" s="21">
        <v>40656.31</v>
      </c>
      <c r="L62" s="21">
        <v>42059.34</v>
      </c>
      <c r="M62" s="21">
        <v>43462.38</v>
      </c>
      <c r="N62" s="21">
        <v>44865.41</v>
      </c>
      <c r="O62" s="21">
        <v>46268.44</v>
      </c>
    </row>
    <row r="63" spans="1:15" ht="16" customHeight="1" x14ac:dyDescent="0.25">
      <c r="A63" s="14" t="str">
        <f ca="1">IF(ISNA(VLOOKUP($B63,KeyAll,COLUMN(Key!$C$4),0))=TRUE,"No key!",VLOOKUP($B63,KeyAll,COLUMN(Key!$C$4),0))</f>
        <v>I-0402G</v>
      </c>
      <c r="B63" s="14" t="s">
        <v>225</v>
      </c>
      <c r="C63" s="1" t="str">
        <f ca="1">IF(ISNA(VLOOKUP($B63,KeyAll,COLUMN(Key!$B$4),0))=TRUE,"No key!",VLOOKUP($B63,KeyAll,COLUMN(Key!$B$4),0))</f>
        <v>Salaries &amp; Wages - Management</v>
      </c>
      <c r="D63" s="21">
        <v>35091.800000000003</v>
      </c>
      <c r="E63" s="21">
        <v>35847.33</v>
      </c>
      <c r="F63" s="21">
        <v>36602.85</v>
      </c>
      <c r="G63" s="21">
        <v>37358.379999999997</v>
      </c>
      <c r="H63" s="21">
        <v>38113.9</v>
      </c>
      <c r="I63" s="21">
        <v>38869.43</v>
      </c>
      <c r="J63" s="21">
        <v>39624.949999999997</v>
      </c>
      <c r="K63" s="21">
        <v>40380.480000000003</v>
      </c>
      <c r="L63" s="21">
        <v>41136</v>
      </c>
      <c r="M63" s="21">
        <v>41891.53</v>
      </c>
      <c r="N63" s="21">
        <v>42647.05</v>
      </c>
      <c r="O63" s="21">
        <v>43402.57</v>
      </c>
    </row>
    <row r="64" spans="1:15" ht="16" customHeight="1" x14ac:dyDescent="0.25">
      <c r="A64" s="14" t="str">
        <f ca="1">IF(ISNA(VLOOKUP($B64,KeyAll,COLUMN(Key!$C$4),0))=TRUE,"No key!",VLOOKUP($B64,KeyAll,COLUMN(Key!$C$4),0))</f>
        <v>I-0501G</v>
      </c>
      <c r="B64" s="14" t="s">
        <v>227</v>
      </c>
      <c r="C64" s="1" t="str">
        <f ca="1">IF(ISNA(VLOOKUP($B64,KeyAll,COLUMN(Key!$B$4),0))=TRUE,"No key!",VLOOKUP($B64,KeyAll,COLUMN(Key!$B$4),0))</f>
        <v>Depreciation</v>
      </c>
      <c r="D64" s="21">
        <v>9247.91</v>
      </c>
      <c r="E64" s="21">
        <v>9561.2000000000007</v>
      </c>
      <c r="F64" s="21">
        <v>9874.5</v>
      </c>
      <c r="G64" s="21">
        <v>10187.790000000001</v>
      </c>
      <c r="H64" s="21">
        <v>10501.08</v>
      </c>
      <c r="I64" s="21">
        <v>10814.37</v>
      </c>
      <c r="J64" s="21">
        <v>11127.66</v>
      </c>
      <c r="K64" s="21">
        <v>11440.95</v>
      </c>
      <c r="L64" s="21">
        <v>11754.24</v>
      </c>
      <c r="M64" s="21">
        <v>12067.54</v>
      </c>
      <c r="N64" s="21">
        <v>12380.83</v>
      </c>
      <c r="O64" s="21">
        <v>12694.12</v>
      </c>
    </row>
    <row r="65" spans="1:15" ht="16" customHeight="1" x14ac:dyDescent="0.25">
      <c r="A65" s="14" t="str">
        <f ca="1">IF(ISNA(VLOOKUP($B65,KeyAll,COLUMN(Key!$C$4),0))=TRUE,"No key!",VLOOKUP($B65,KeyAll,COLUMN(Key!$C$4),0))</f>
        <v>I-0502G</v>
      </c>
      <c r="B65" s="14" t="s">
        <v>228</v>
      </c>
      <c r="C65" s="1" t="str">
        <f ca="1">IF(ISNA(VLOOKUP($B65,KeyAll,COLUMN(Key!$B$4),0))=TRUE,"No key!",VLOOKUP($B65,KeyAll,COLUMN(Key!$B$4),0))</f>
        <v>Amortization</v>
      </c>
      <c r="D65" s="21">
        <v>8652.08</v>
      </c>
      <c r="E65" s="21">
        <v>9053.2199999999993</v>
      </c>
      <c r="F65" s="21">
        <v>9454.36</v>
      </c>
      <c r="G65" s="21">
        <v>9855.5</v>
      </c>
      <c r="H65" s="21">
        <v>10256.629999999999</v>
      </c>
      <c r="I65" s="21">
        <v>10657.77</v>
      </c>
      <c r="J65" s="21">
        <v>11058.91</v>
      </c>
      <c r="K65" s="21">
        <v>11460.05</v>
      </c>
      <c r="L65" s="21">
        <v>11861.19</v>
      </c>
      <c r="M65" s="21">
        <v>12262.32</v>
      </c>
      <c r="N65" s="21">
        <v>12663.46</v>
      </c>
      <c r="O65" s="21">
        <v>13064.6</v>
      </c>
    </row>
    <row r="66" spans="1:15" ht="16" customHeight="1" x14ac:dyDescent="0.25">
      <c r="A66" s="14" t="str">
        <f ca="1">IF(ISNA(VLOOKUP($B66,KeyAll,COLUMN(Key!$C$4),0))=TRUE,"No key!",VLOOKUP($B66,KeyAll,COLUMN(Key!$C$4),0))</f>
        <v>I-06G</v>
      </c>
      <c r="B66" s="14" t="s">
        <v>197</v>
      </c>
      <c r="C66" s="1" t="str">
        <f ca="1">IF(ISNA(VLOOKUP($B66,KeyAll,COLUMN(Key!$B$4),0))=TRUE,"No key!",VLOOKUP($B66,KeyAll,COLUMN(Key!$B$4),0))</f>
        <v>Interest Paid</v>
      </c>
      <c r="D66" s="21">
        <v>3862.03</v>
      </c>
      <c r="E66" s="21">
        <v>3964.77</v>
      </c>
      <c r="F66" s="21">
        <v>4067.52</v>
      </c>
      <c r="G66" s="21">
        <v>4170.26</v>
      </c>
      <c r="H66" s="21">
        <v>4273</v>
      </c>
      <c r="I66" s="21">
        <v>4375.74</v>
      </c>
      <c r="J66" s="21">
        <v>4478.4799999999996</v>
      </c>
      <c r="K66" s="21">
        <v>4581.2299999999996</v>
      </c>
      <c r="L66" s="21">
        <v>4683.97</v>
      </c>
      <c r="M66" s="21">
        <v>4786.71</v>
      </c>
      <c r="N66" s="21">
        <v>4889.45</v>
      </c>
      <c r="O66" s="21">
        <v>4992.1899999999996</v>
      </c>
    </row>
    <row r="67" spans="1:15" ht="16" customHeight="1" x14ac:dyDescent="0.25">
      <c r="A67" s="14" t="str">
        <f ca="1">IF(ISNA(VLOOKUP($B67,KeyAll,COLUMN(Key!$C$4),0))=TRUE,"No key!",VLOOKUP($B67,KeyAll,COLUMN(Key!$C$4),0))</f>
        <v>I-07G</v>
      </c>
      <c r="B67" s="14" t="s">
        <v>198</v>
      </c>
      <c r="C67" s="1" t="str">
        <f ca="1">IF(ISNA(VLOOKUP($B67,KeyAll,COLUMN(Key!$B$4),0))=TRUE,"No key!",VLOOKUP($B67,KeyAll,COLUMN(Key!$B$4),0))</f>
        <v>Taxation</v>
      </c>
      <c r="D67" s="21">
        <v>9558.7000000000007</v>
      </c>
      <c r="E67" s="21">
        <v>9885.7999999999993</v>
      </c>
      <c r="F67" s="21">
        <v>10212.9</v>
      </c>
      <c r="G67" s="21">
        <v>10540</v>
      </c>
      <c r="H67" s="21">
        <v>10867.09</v>
      </c>
      <c r="I67" s="21">
        <v>11194.19</v>
      </c>
      <c r="J67" s="21">
        <v>11521.29</v>
      </c>
      <c r="K67" s="21">
        <v>11848.39</v>
      </c>
      <c r="L67" s="21">
        <v>12175.48</v>
      </c>
      <c r="M67" s="21">
        <v>12502.58</v>
      </c>
      <c r="N67" s="21">
        <v>12829.68</v>
      </c>
      <c r="O67" s="21">
        <v>13156.77</v>
      </c>
    </row>
    <row r="68" spans="1:15" ht="16" customHeight="1" x14ac:dyDescent="0.25">
      <c r="A68" s="14" t="str">
        <f ca="1">IF(ISNA(VLOOKUP($B68,KeyAll,COLUMN(Key!$C$4),0))=TRUE,"No key!",VLOOKUP($B68,KeyAll,COLUMN(Key!$C$4),0))</f>
        <v>I-08G</v>
      </c>
      <c r="B68" s="14" t="s">
        <v>200</v>
      </c>
      <c r="C68" s="1" t="str">
        <f ca="1">IF(ISNA(VLOOKUP($B68,KeyAll,COLUMN(Key!$B$4),0))=TRUE,"No key!",VLOOKUP($B68,KeyAll,COLUMN(Key!$B$4),0))</f>
        <v>Other Expenses</v>
      </c>
      <c r="D68" s="21">
        <v>8362.1299999999992</v>
      </c>
      <c r="E68" s="21">
        <v>8961.23</v>
      </c>
      <c r="F68" s="21">
        <v>9560.32</v>
      </c>
      <c r="G68" s="21">
        <v>10159.42</v>
      </c>
      <c r="H68" s="21">
        <v>10758.51</v>
      </c>
      <c r="I68" s="21">
        <v>11357.61</v>
      </c>
      <c r="J68" s="21">
        <v>11956.7</v>
      </c>
      <c r="K68" s="21">
        <v>12555.8</v>
      </c>
      <c r="L68" s="21">
        <v>13154.9</v>
      </c>
      <c r="M68" s="21">
        <v>13753.99</v>
      </c>
      <c r="N68" s="21">
        <v>14353.09</v>
      </c>
      <c r="O68" s="21">
        <v>14952.18</v>
      </c>
    </row>
    <row r="69" spans="1:15" ht="16" customHeight="1" x14ac:dyDescent="0.25">
      <c r="A69" s="14" t="str">
        <f ca="1">IF(ISNA(VLOOKUP($B69,KeyAll,COLUMN(Key!$C$4),0))=TRUE,"No key!",VLOOKUP($B69,KeyAll,COLUMN(Key!$C$4),0))</f>
        <v>I-08G</v>
      </c>
      <c r="B69" s="14" t="s">
        <v>230</v>
      </c>
      <c r="C69" s="1" t="str">
        <f ca="1">IF(ISNA(VLOOKUP($B69,KeyAll,COLUMN(Key!$B$4),0))=TRUE,"No key!",VLOOKUP($B69,KeyAll,COLUMN(Key!$B$4),0))</f>
        <v>Foreign Exchange Loss</v>
      </c>
      <c r="D69" s="21">
        <v>1062.57</v>
      </c>
      <c r="E69" s="21">
        <v>1116.3800000000001</v>
      </c>
      <c r="F69" s="21">
        <v>1170.2</v>
      </c>
      <c r="G69" s="21">
        <v>1224.01</v>
      </c>
      <c r="H69" s="21">
        <v>1277.82</v>
      </c>
      <c r="I69" s="21">
        <v>1331.64</v>
      </c>
      <c r="J69" s="21">
        <v>1385.45</v>
      </c>
      <c r="K69" s="21">
        <v>1439.26</v>
      </c>
      <c r="L69" s="21">
        <v>1493.08</v>
      </c>
      <c r="M69" s="21">
        <v>1546.89</v>
      </c>
      <c r="N69" s="21">
        <v>1600.71</v>
      </c>
      <c r="O69" s="21">
        <v>1654.52</v>
      </c>
    </row>
    <row r="70" spans="1:15" ht="16" customHeight="1" x14ac:dyDescent="0.25">
      <c r="A70" s="14" t="str">
        <f ca="1">IF(ISNA(VLOOKUP($B70,KeyAll,COLUMN(Key!$C$4),0))=TRUE,"No key!",VLOOKUP($B70,KeyAll,COLUMN(Key!$C$4),0))</f>
        <v>I-08G</v>
      </c>
      <c r="B70" s="14" t="s">
        <v>232</v>
      </c>
      <c r="C70" s="1" t="str">
        <f ca="1">IF(ISNA(VLOOKUP($B70,KeyAll,COLUMN(Key!$B$4),0))=TRUE,"No key!",VLOOKUP($B70,KeyAll,COLUMN(Key!$B$4),0))</f>
        <v>Loss on Disposal of Assets</v>
      </c>
      <c r="D70" s="21">
        <v>4756.7</v>
      </c>
      <c r="E70" s="21">
        <v>4915.22</v>
      </c>
      <c r="F70" s="21">
        <v>5073.75</v>
      </c>
      <c r="G70" s="21">
        <v>5232.2700000000004</v>
      </c>
      <c r="H70" s="21">
        <v>5390.79</v>
      </c>
      <c r="I70" s="21">
        <v>5549.32</v>
      </c>
      <c r="J70" s="21">
        <v>5707.84</v>
      </c>
      <c r="K70" s="21">
        <v>5866.37</v>
      </c>
      <c r="L70" s="21">
        <v>6024.89</v>
      </c>
      <c r="M70" s="21">
        <v>6183.41</v>
      </c>
      <c r="N70" s="21">
        <v>6341.94</v>
      </c>
      <c r="O70" s="21">
        <v>6500.46</v>
      </c>
    </row>
    <row r="71" spans="1:15" ht="16" customHeight="1" x14ac:dyDescent="0.25">
      <c r="A71" s="14" t="str">
        <f ca="1">IF(ISNA(VLOOKUP($B71,KeyAll,COLUMN(Key!$C$4),0))=TRUE,"No key!",VLOOKUP($B71,KeyAll,COLUMN(Key!$C$4),0))</f>
        <v>I-09G</v>
      </c>
      <c r="B71" s="14" t="s">
        <v>201</v>
      </c>
      <c r="C71" s="1" t="str">
        <f ca="1">IF(ISNA(VLOOKUP($B71,KeyAll,COLUMN(Key!$B$4),0))=TRUE,"No key!",VLOOKUP($B71,KeyAll,COLUMN(Key!$B$4),0))</f>
        <v>Other Income</v>
      </c>
      <c r="D71" s="21">
        <v>2078.79</v>
      </c>
      <c r="E71" s="21">
        <v>2162.4699999999998</v>
      </c>
      <c r="F71" s="21">
        <v>2246.16</v>
      </c>
      <c r="G71" s="21">
        <v>2329.85</v>
      </c>
      <c r="H71" s="21">
        <v>2413.5300000000002</v>
      </c>
      <c r="I71" s="21">
        <v>2497.2199999999998</v>
      </c>
      <c r="J71" s="21">
        <v>2580.9</v>
      </c>
      <c r="K71" s="21">
        <v>2664.59</v>
      </c>
      <c r="L71" s="21">
        <v>2748.27</v>
      </c>
      <c r="M71" s="21">
        <v>2831.96</v>
      </c>
      <c r="N71" s="21">
        <v>2915.64</v>
      </c>
      <c r="O71" s="21">
        <v>2999.33</v>
      </c>
    </row>
    <row r="72" spans="1:15" ht="16" customHeight="1" x14ac:dyDescent="0.25">
      <c r="A72" s="14" t="str">
        <f ca="1">IF(ISNA(VLOOKUP($B72,KeyAll,COLUMN(Key!$C$4),0))=TRUE,"No key!",VLOOKUP($B72,KeyAll,COLUMN(Key!$C$4),0))</f>
        <v>I-10G</v>
      </c>
      <c r="B72" s="14" t="s">
        <v>202</v>
      </c>
      <c r="C72" s="1" t="str">
        <f ca="1">IF(ISNA(VLOOKUP($B72,KeyAll,COLUMN(Key!$B$4),0))=TRUE,"No key!",VLOOKUP($B72,KeyAll,COLUMN(Key!$B$4),0))</f>
        <v>Dividends</v>
      </c>
      <c r="D72" s="21">
        <v>9486.19</v>
      </c>
      <c r="E72" s="21">
        <v>9859.8700000000008</v>
      </c>
      <c r="F72" s="21">
        <v>10233.549999999999</v>
      </c>
      <c r="G72" s="21">
        <v>10607.23</v>
      </c>
      <c r="H72" s="21">
        <v>10980.91</v>
      </c>
      <c r="I72" s="21">
        <v>11354.6</v>
      </c>
      <c r="J72" s="21">
        <v>11728.28</v>
      </c>
      <c r="K72" s="21">
        <v>12101.96</v>
      </c>
      <c r="L72" s="21">
        <v>12475.64</v>
      </c>
      <c r="M72" s="21">
        <v>12849.32</v>
      </c>
      <c r="N72" s="21">
        <v>13223</v>
      </c>
      <c r="O72" s="21">
        <v>13596.68</v>
      </c>
    </row>
    <row r="73" spans="1:15" ht="16" customHeight="1" x14ac:dyDescent="0.25">
      <c r="A73" s="14" t="str">
        <f ca="1">IF(ISNA(VLOOKUP($B73,KeyAll,COLUMN(Key!$C$4),0))=TRUE,"No key!",VLOOKUP($B73,KeyAll,COLUMN(Key!$C$4),0))</f>
        <v>B-06G</v>
      </c>
      <c r="B73" s="14" t="s">
        <v>145</v>
      </c>
      <c r="C73" s="1" t="str">
        <f ca="1">IF(ISNA(VLOOKUP($B73,KeyAll,COLUMN(Key!$B$4),0))=TRUE,"No key!",VLOOKUP($B73,KeyAll,COLUMN(Key!$B$4),0))</f>
        <v>B1 Bank Account</v>
      </c>
      <c r="D73" s="21">
        <v>17969.77</v>
      </c>
      <c r="E73" s="21">
        <v>18654.79</v>
      </c>
      <c r="F73" s="21">
        <v>19339.810000000001</v>
      </c>
      <c r="G73" s="21">
        <v>20024.830000000002</v>
      </c>
      <c r="H73" s="21">
        <v>20709.849999999999</v>
      </c>
      <c r="I73" s="21">
        <v>21394.87</v>
      </c>
      <c r="J73" s="21">
        <v>22079.89</v>
      </c>
      <c r="K73" s="21">
        <v>22764.91</v>
      </c>
      <c r="L73" s="21">
        <v>23449.93</v>
      </c>
      <c r="M73" s="21">
        <v>24134.959999999999</v>
      </c>
      <c r="N73" s="21">
        <v>24819.98</v>
      </c>
      <c r="O73" s="21">
        <v>25505</v>
      </c>
    </row>
    <row r="74" spans="1:15" ht="16" customHeight="1" x14ac:dyDescent="0.25">
      <c r="A74" s="14" t="str">
        <f ca="1">IF(ISNA(VLOOKUP($B74,KeyAll,COLUMN(Key!$C$4),0))=TRUE,"No key!",VLOOKUP($B74,KeyAll,COLUMN(Key!$C$4),0))</f>
        <v>B-06G</v>
      </c>
      <c r="B74" s="14" t="s">
        <v>146</v>
      </c>
      <c r="C74" s="1" t="str">
        <f ca="1">IF(ISNA(VLOOKUP($B74,KeyAll,COLUMN(Key!$B$4),0))=TRUE,"No key!",VLOOKUP($B74,KeyAll,COLUMN(Key!$B$4),0))</f>
        <v>B2 Bank Account</v>
      </c>
      <c r="D74" s="21">
        <v>14090.74</v>
      </c>
      <c r="E74" s="21">
        <v>14779.37</v>
      </c>
      <c r="F74" s="21">
        <v>15468.01</v>
      </c>
      <c r="G74" s="21">
        <v>16156.64</v>
      </c>
      <c r="H74" s="21">
        <v>16845.27</v>
      </c>
      <c r="I74" s="21">
        <v>17533.900000000001</v>
      </c>
      <c r="J74" s="21">
        <v>18222.54</v>
      </c>
      <c r="K74" s="21">
        <v>18911.169999999998</v>
      </c>
      <c r="L74" s="21">
        <v>19599.8</v>
      </c>
      <c r="M74" s="21">
        <v>20288.43</v>
      </c>
      <c r="N74" s="21">
        <v>20977.07</v>
      </c>
      <c r="O74" s="21">
        <v>21665.7</v>
      </c>
    </row>
    <row r="75" spans="1:15" ht="16" customHeight="1" x14ac:dyDescent="0.25">
      <c r="A75" s="14" t="str">
        <f ca="1">IF(ISNA(VLOOKUP($B75,KeyAll,COLUMN(Key!$C$4),0))=TRUE,"No key!",VLOOKUP($B75,KeyAll,COLUMN(Key!$C$4),0))</f>
        <v>B-06G</v>
      </c>
      <c r="B75" s="14" t="s">
        <v>147</v>
      </c>
      <c r="C75" s="1" t="str">
        <f ca="1">IF(ISNA(VLOOKUP($B75,KeyAll,COLUMN(Key!$B$4),0))=TRUE,"No key!",VLOOKUP($B75,KeyAll,COLUMN(Key!$B$4),0))</f>
        <v>B3 Bank Account</v>
      </c>
      <c r="D75" s="21">
        <v>29061.18</v>
      </c>
      <c r="E75" s="21">
        <v>29644.48</v>
      </c>
      <c r="F75" s="21">
        <v>30227.77</v>
      </c>
      <c r="G75" s="21">
        <v>30811.07</v>
      </c>
      <c r="H75" s="21">
        <v>31394.36</v>
      </c>
      <c r="I75" s="21">
        <v>31977.66</v>
      </c>
      <c r="J75" s="21">
        <v>32560.959999999999</v>
      </c>
      <c r="K75" s="21">
        <v>33144.25</v>
      </c>
      <c r="L75" s="21">
        <v>33727.550000000003</v>
      </c>
      <c r="M75" s="21">
        <v>34310.839999999997</v>
      </c>
      <c r="N75" s="21">
        <v>34894.14</v>
      </c>
      <c r="O75" s="21">
        <v>35477.43</v>
      </c>
    </row>
    <row r="76" spans="1:15" ht="16" customHeight="1" x14ac:dyDescent="0.25">
      <c r="A76" s="14" t="str">
        <f ca="1">IF(ISNA(VLOOKUP($B76,KeyAll,COLUMN(Key!$C$4),0))=TRUE,"No key!",VLOOKUP($B76,KeyAll,COLUMN(Key!$C$4),0))</f>
        <v>B-06G</v>
      </c>
      <c r="B76" s="14" t="s">
        <v>148</v>
      </c>
      <c r="C76" s="1" t="str">
        <f ca="1">IF(ISNA(VLOOKUP($B76,KeyAll,COLUMN(Key!$B$4),0))=TRUE,"No key!",VLOOKUP($B76,KeyAll,COLUMN(Key!$B$4),0))</f>
        <v>PC Petty Cash</v>
      </c>
      <c r="D76" s="21">
        <v>17431.21</v>
      </c>
      <c r="E76" s="21">
        <v>17815.310000000001</v>
      </c>
      <c r="F76" s="21">
        <v>18199.41</v>
      </c>
      <c r="G76" s="21">
        <v>18583.509999999998</v>
      </c>
      <c r="H76" s="21">
        <v>18967.61</v>
      </c>
      <c r="I76" s="21">
        <v>19351.71</v>
      </c>
      <c r="J76" s="21">
        <v>19735.810000000001</v>
      </c>
      <c r="K76" s="21">
        <v>20119.91</v>
      </c>
      <c r="L76" s="21">
        <v>20504.009999999998</v>
      </c>
      <c r="M76" s="21">
        <v>20888.099999999999</v>
      </c>
      <c r="N76" s="21">
        <v>21272.2</v>
      </c>
      <c r="O76" s="21">
        <v>21656.3</v>
      </c>
    </row>
    <row r="77" spans="1:15" ht="16" customHeight="1" x14ac:dyDescent="0.25">
      <c r="A77" s="14" t="str">
        <f ca="1">IF(ISNA(VLOOKUP($B77,KeyAll,COLUMN(Key!$C$4),0))=TRUE,"No key!",VLOOKUP($B77,KeyAll,COLUMN(Key!$C$4),0))</f>
        <v>B-06G</v>
      </c>
      <c r="B77" s="14" t="s">
        <v>150</v>
      </c>
      <c r="C77" s="1" t="str">
        <f ca="1">IF(ISNA(VLOOKUP($B77,KeyAll,COLUMN(Key!$B$4),0))=TRUE,"No key!",VLOOKUP($B77,KeyAll,COLUMN(Key!$B$4),0))</f>
        <v>GL Journal Control</v>
      </c>
      <c r="D77" s="21">
        <v>3563.56</v>
      </c>
      <c r="E77" s="21">
        <v>3642.72</v>
      </c>
      <c r="F77" s="21">
        <v>3721.88</v>
      </c>
      <c r="G77" s="21">
        <v>3801.04</v>
      </c>
      <c r="H77" s="21">
        <v>3880.2</v>
      </c>
      <c r="I77" s="21">
        <v>3959.36</v>
      </c>
      <c r="J77" s="21">
        <v>4038.51</v>
      </c>
      <c r="K77" s="21">
        <v>4117.67</v>
      </c>
      <c r="L77" s="21">
        <v>4196.83</v>
      </c>
      <c r="M77" s="21">
        <v>4275.99</v>
      </c>
      <c r="N77" s="21">
        <v>4355.1499999999996</v>
      </c>
      <c r="O77" s="21">
        <v>4434.3</v>
      </c>
    </row>
    <row r="78" spans="1:15" ht="16" customHeight="1" x14ac:dyDescent="0.25">
      <c r="A78" s="14" t="str">
        <f ca="1">IF(ISNA(VLOOKUP($B78,KeyAll,COLUMN(Key!$C$4),0))=TRUE,"No key!",VLOOKUP($B78,KeyAll,COLUMN(Key!$C$4),0))</f>
        <v>B-10G</v>
      </c>
      <c r="B78" s="14" t="s">
        <v>161</v>
      </c>
      <c r="C78" s="1" t="str">
        <f ca="1">IF(ISNA(VLOOKUP($B78,KeyAll,COLUMN(Key!$B$4),0))=TRUE,"No key!",VLOOKUP($B78,KeyAll,COLUMN(Key!$B$4),0))</f>
        <v>Inventory</v>
      </c>
      <c r="D78" s="21">
        <v>6486.08</v>
      </c>
      <c r="E78" s="21">
        <v>6811.43</v>
      </c>
      <c r="F78" s="21">
        <v>7136.77</v>
      </c>
      <c r="G78" s="21">
        <v>7462.12</v>
      </c>
      <c r="H78" s="21">
        <v>7787.47</v>
      </c>
      <c r="I78" s="21">
        <v>8112.81</v>
      </c>
      <c r="J78" s="21">
        <v>8438.16</v>
      </c>
      <c r="K78" s="21">
        <v>8763.5</v>
      </c>
      <c r="L78" s="21">
        <v>9088.85</v>
      </c>
      <c r="M78" s="21">
        <v>9414.2000000000007</v>
      </c>
      <c r="N78" s="21">
        <v>9739.5400000000009</v>
      </c>
      <c r="O78" s="21">
        <v>10064.89</v>
      </c>
    </row>
    <row r="79" spans="1:15" ht="16" customHeight="1" x14ac:dyDescent="0.25">
      <c r="A79" s="14" t="str">
        <f ca="1">IF(ISNA(VLOOKUP($B79,KeyAll,COLUMN(Key!$C$4),0))=TRUE,"No key!",VLOOKUP($B79,KeyAll,COLUMN(Key!$C$4),0))</f>
        <v>B-08G</v>
      </c>
      <c r="B79" s="14" t="s">
        <v>156</v>
      </c>
      <c r="C79" s="1" t="str">
        <f ca="1">IF(ISNA(VLOOKUP($B79,KeyAll,COLUMN(Key!$B$4),0))=TRUE,"No key!",VLOOKUP($B79,KeyAll,COLUMN(Key!$B$4),0))</f>
        <v>Trade Debtors</v>
      </c>
      <c r="D79" s="21">
        <v>6029.58</v>
      </c>
      <c r="E79" s="21">
        <v>6195.62</v>
      </c>
      <c r="F79" s="21">
        <v>6361.67</v>
      </c>
      <c r="G79" s="21">
        <v>6527.72</v>
      </c>
      <c r="H79" s="21">
        <v>6693.77</v>
      </c>
      <c r="I79" s="21">
        <v>6859.82</v>
      </c>
      <c r="J79" s="21">
        <v>7025.87</v>
      </c>
      <c r="K79" s="21">
        <v>7191.92</v>
      </c>
      <c r="L79" s="21">
        <v>7357.97</v>
      </c>
      <c r="M79" s="21">
        <v>7524.02</v>
      </c>
      <c r="N79" s="21">
        <v>7690.07</v>
      </c>
      <c r="O79" s="21">
        <v>7856.11</v>
      </c>
    </row>
    <row r="80" spans="1:15" ht="16" customHeight="1" x14ac:dyDescent="0.25">
      <c r="A80" s="14" t="str">
        <f ca="1">IF(ISNA(VLOOKUP($B80,KeyAll,COLUMN(Key!$C$4),0))=TRUE,"No key!",VLOOKUP($B80,KeyAll,COLUMN(Key!$C$4),0))</f>
        <v>B-12G</v>
      </c>
      <c r="B80" s="14" t="s">
        <v>163</v>
      </c>
      <c r="C80" s="1" t="str">
        <f ca="1">IF(ISNA(VLOOKUP($B80,KeyAll,COLUMN(Key!$B$4),0))=TRUE,"No key!",VLOOKUP($B80,KeyAll,COLUMN(Key!$B$4),0))</f>
        <v>Trade Creditors</v>
      </c>
      <c r="D80" s="21">
        <v>23165.32</v>
      </c>
      <c r="E80" s="21">
        <v>23762.53</v>
      </c>
      <c r="F80" s="21">
        <v>24359.73</v>
      </c>
      <c r="G80" s="21">
        <v>24956.94</v>
      </c>
      <c r="H80" s="21">
        <v>25554.15</v>
      </c>
      <c r="I80" s="21">
        <v>26151.360000000001</v>
      </c>
      <c r="J80" s="21">
        <v>26748.57</v>
      </c>
      <c r="K80" s="21">
        <v>27345.78</v>
      </c>
      <c r="L80" s="21">
        <v>27942.99</v>
      </c>
      <c r="M80" s="21">
        <v>28540.19</v>
      </c>
      <c r="N80" s="21">
        <v>29137.4</v>
      </c>
      <c r="O80" s="21">
        <v>29734.61</v>
      </c>
    </row>
    <row r="81" spans="1:15" ht="16" customHeight="1" x14ac:dyDescent="0.25">
      <c r="A81" s="14" t="str">
        <f ca="1">IF(ISNA(VLOOKUP($B81,KeyAll,COLUMN(Key!$C$4),0))=TRUE,"No key!",VLOOKUP($B81,KeyAll,COLUMN(Key!$C$4),0))</f>
        <v>B-21G</v>
      </c>
      <c r="B81" s="14" t="s">
        <v>183</v>
      </c>
      <c r="C81" s="1" t="str">
        <f ca="1">IF(ISNA(VLOOKUP($B81,KeyAll,COLUMN(Key!$B$4),0))=TRUE,"No key!",VLOOKUP($B81,KeyAll,COLUMN(Key!$B$4),0))</f>
        <v>Retained Earnings</v>
      </c>
      <c r="D81" s="21">
        <v>-828447.71</v>
      </c>
      <c r="E81" s="21">
        <v>-864858.38</v>
      </c>
      <c r="F81" s="21">
        <v>-901269.1</v>
      </c>
      <c r="G81" s="21">
        <v>-937679.8</v>
      </c>
      <c r="H81" s="21">
        <v>-974090.39</v>
      </c>
      <c r="I81" s="21">
        <v>-1010501.11</v>
      </c>
      <c r="J81" s="21">
        <v>-1046911.8</v>
      </c>
      <c r="K81" s="21">
        <v>-1083322.44</v>
      </c>
      <c r="L81" s="21">
        <v>-1119733.1299999999</v>
      </c>
      <c r="M81" s="21">
        <v>-1156143.8</v>
      </c>
      <c r="N81" s="21">
        <v>-1192554.5</v>
      </c>
      <c r="O81" s="21">
        <v>-1228965.1200000001</v>
      </c>
    </row>
  </sheetData>
  <sheetProtection algorithmName="SHA-512" hashValue="WVnW3Sp5CNmLg/z1xUoBbzRnR0PdsOEVpkGfAvLvT/Vrih342n0T3jHjjbwwzy4vwHg43DSsXHDo9ENRUkxUMA==" saltValue="haTljkPE6MHyj5b927koeA==" spinCount="100000" sheet="1" objects="1" scenarios="1"/>
  <conditionalFormatting sqref="A4">
    <cfRule type="expression" dxfId="6" priority="1" stopIfTrue="1">
      <formula>COUNTIF(TBClass,"No key!")&gt;0</formula>
    </cfRule>
  </conditionalFormatting>
  <conditionalFormatting sqref="D3:O3">
    <cfRule type="expression" dxfId="5" priority="2" stopIfTrue="1">
      <formula>ROUND(D3,2)&lt;&gt;0</formula>
    </cfRule>
  </conditionalFormatting>
  <pageMargins left="0.51181102362204722" right="0.51181102362204722" top="0.55118110236220474" bottom="0.55118110236220474" header="0.39370078740157483" footer="0.39370078740157483"/>
  <pageSetup paperSize="9" scale="58" fitToHeight="0" orientation="landscape" r:id="rId1"/>
  <headerFooter>
    <oddFooter>&amp;C&amp;9Page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L81"/>
  <sheetViews>
    <sheetView zoomScale="95" zoomScaleNormal="95" workbookViewId="0">
      <pane xSplit="3" ySplit="4" topLeftCell="D5" activePane="bottomRight" state="frozen"/>
      <selection pane="topRight" activeCell="E1" sqref="E1"/>
      <selection pane="bottomLeft" activeCell="A5" sqref="A5"/>
      <selection pane="bottomRight" activeCell="J7" sqref="J7"/>
    </sheetView>
  </sheetViews>
  <sheetFormatPr defaultColWidth="9.08984375" defaultRowHeight="16" customHeight="1" x14ac:dyDescent="0.25"/>
  <cols>
    <col min="1" max="1" width="10.6328125" style="14" customWidth="1"/>
    <col min="2" max="2" width="14.6328125" style="14" customWidth="1"/>
    <col min="3" max="3" width="43.453125" style="14" customWidth="1"/>
    <col min="4" max="16" width="14.6328125" style="21" customWidth="1"/>
    <col min="17" max="19" width="15.6328125" style="21" customWidth="1"/>
    <col min="20" max="16384" width="9.08984375" style="1"/>
  </cols>
  <sheetData>
    <row r="1" spans="1:38" ht="16" customHeight="1" x14ac:dyDescent="0.3">
      <c r="A1" s="106" t="str">
        <f>IF(ISBLANK(Setup!$C$4),"Example (Pty) Limited",Setup!$C$4)</f>
        <v>Example (Pty) Limited</v>
      </c>
    </row>
    <row r="2" spans="1:38" ht="16" customHeight="1" x14ac:dyDescent="0.25">
      <c r="A2" s="2" t="s">
        <v>80</v>
      </c>
    </row>
    <row r="3" spans="1:38" ht="16" customHeight="1" x14ac:dyDescent="0.25">
      <c r="A3" s="24" t="s">
        <v>36</v>
      </c>
      <c r="D3" s="21" cm="1">
        <f t="array" aca="1" ref="D3" ca="1">IF(PYRowCount=0,0,ROUND(SUBTOTAL(9,OFFSET(D$4,1,0,PYRowCount,1)),2))</f>
        <v>0</v>
      </c>
      <c r="E3" s="21" cm="1">
        <f t="array" aca="1" ref="E3" ca="1">IF(PYRowCount=0,0,ROUND(SUBTOTAL(9,OFFSET(E$4,1,0,PYRowCount,1)),2))</f>
        <v>0</v>
      </c>
      <c r="F3" s="21" cm="1">
        <f t="array" aca="1" ref="F3" ca="1">IF(PYRowCount=0,0,ROUND(SUBTOTAL(9,OFFSET(F$4,1,0,PYRowCount,1)),2))</f>
        <v>0</v>
      </c>
      <c r="G3" s="21" cm="1">
        <f t="array" aca="1" ref="G3" ca="1">IF(PYRowCount=0,0,ROUND(SUBTOTAL(9,OFFSET(G$4,1,0,PYRowCount,1)),2))</f>
        <v>0</v>
      </c>
      <c r="H3" s="21" cm="1">
        <f t="array" aca="1" ref="H3" ca="1">IF(PYRowCount=0,0,ROUND(SUBTOTAL(9,OFFSET(H$4,1,0,PYRowCount,1)),2))</f>
        <v>0</v>
      </c>
      <c r="I3" s="21" cm="1">
        <f t="array" aca="1" ref="I3" ca="1">IF(PYRowCount=0,0,ROUND(SUBTOTAL(9,OFFSET(I$4,1,0,PYRowCount,1)),2))</f>
        <v>0</v>
      </c>
      <c r="J3" s="21" cm="1">
        <f t="array" aca="1" ref="J3" ca="1">IF(PYRowCount=0,0,ROUND(SUBTOTAL(9,OFFSET(J$4,1,0,PYRowCount,1)),2))</f>
        <v>0</v>
      </c>
      <c r="K3" s="21" cm="1">
        <f t="array" aca="1" ref="K3" ca="1">IF(PYRowCount=0,0,ROUND(SUBTOTAL(9,OFFSET(K$4,1,0,PYRowCount,1)),2))</f>
        <v>0</v>
      </c>
      <c r="L3" s="21" cm="1">
        <f t="array" aca="1" ref="L3" ca="1">IF(PYRowCount=0,0,ROUND(SUBTOTAL(9,OFFSET(L$4,1,0,PYRowCount,1)),2))</f>
        <v>0</v>
      </c>
      <c r="M3" s="21" cm="1">
        <f t="array" aca="1" ref="M3" ca="1">IF(PYRowCount=0,0,ROUND(SUBTOTAL(9,OFFSET(M$4,1,0,PYRowCount,1)),2))</f>
        <v>0</v>
      </c>
      <c r="N3" s="21" cm="1">
        <f t="array" aca="1" ref="N3" ca="1">IF(PYRowCount=0,0,ROUND(SUBTOTAL(9,OFFSET(N$4,1,0,PYRowCount,1)),2))</f>
        <v>0</v>
      </c>
      <c r="O3" s="21" cm="1">
        <f t="array" aca="1" ref="O3" ca="1">IF(PYRowCount=0,0,ROUND(SUBTOTAL(9,OFFSET(O$4,1,0,PYRowCount,1)),2))</f>
        <v>0</v>
      </c>
      <c r="P3" s="21" cm="1">
        <f t="array" aca="1" ref="P3" ca="1">IF(PYRowCount=0,0,ROUND(SUBTOTAL(9,OFFSET(P$4,1,0,PYRowCount,1)),2))</f>
        <v>0</v>
      </c>
    </row>
    <row r="4" spans="1:38" s="20" customFormat="1" ht="18" customHeight="1" x14ac:dyDescent="0.25">
      <c r="A4" s="12" t="s">
        <v>6</v>
      </c>
      <c r="B4" s="17" t="s">
        <v>20</v>
      </c>
      <c r="C4" s="12" t="s">
        <v>7</v>
      </c>
      <c r="D4" s="25">
        <f ca="1">DATE(YEAR(Setup!$C$10)-2,MONTH(Setup!$C$10)+1,0)</f>
        <v>45351</v>
      </c>
      <c r="E4" s="26">
        <f ca="1">DATE(YEAR(Setup!$C$10)-2,MONTH(Setup!$C$10)+2,0)</f>
        <v>45382</v>
      </c>
      <c r="F4" s="26">
        <f ca="1">DATE(YEAR(E4),MONTH(E4)+2,0)</f>
        <v>45412</v>
      </c>
      <c r="G4" s="26">
        <f t="shared" ref="G4:P4" ca="1" si="0">DATE(YEAR(F4),MONTH(F4)+2,0)</f>
        <v>45443</v>
      </c>
      <c r="H4" s="26">
        <f t="shared" ca="1" si="0"/>
        <v>45473</v>
      </c>
      <c r="I4" s="26">
        <f t="shared" ca="1" si="0"/>
        <v>45504</v>
      </c>
      <c r="J4" s="26">
        <f t="shared" ca="1" si="0"/>
        <v>45535</v>
      </c>
      <c r="K4" s="26">
        <f t="shared" ca="1" si="0"/>
        <v>45565</v>
      </c>
      <c r="L4" s="26">
        <f t="shared" ca="1" si="0"/>
        <v>45596</v>
      </c>
      <c r="M4" s="26">
        <f t="shared" ca="1" si="0"/>
        <v>45626</v>
      </c>
      <c r="N4" s="26">
        <f t="shared" ca="1" si="0"/>
        <v>45657</v>
      </c>
      <c r="O4" s="26">
        <f t="shared" ca="1" si="0"/>
        <v>45688</v>
      </c>
      <c r="P4" s="26">
        <f t="shared" ca="1" si="0"/>
        <v>45716</v>
      </c>
      <c r="Q4" s="27"/>
      <c r="R4" s="27"/>
      <c r="S4" s="27"/>
    </row>
    <row r="5" spans="1:38" ht="16" customHeight="1" x14ac:dyDescent="0.25">
      <c r="A5" s="14" t="str">
        <f ca="1">IF(ISNA(VLOOKUP($B5,KeyAll,COLUMN(Key!$C$4),0))=TRUE,"No key!",VLOOKUP($B5,KeyAll,COLUMN(Key!$C$4),0))</f>
        <v>B-00G</v>
      </c>
      <c r="B5" s="14" t="s">
        <v>95</v>
      </c>
      <c r="C5" s="1" t="str">
        <f ca="1">IF(ISNA(VLOOKUP($B5,KeyAll,COLUMN(Key!$B$4),0))=TRUE,"No key!",VLOOKUP($B5,KeyAll,COLUMN(Key!$B$4),0))</f>
        <v>Land &amp; Buildings - Cost</v>
      </c>
      <c r="D5" s="21">
        <v>3059.6019999999994</v>
      </c>
      <c r="E5" s="21">
        <v>3059.6019999999994</v>
      </c>
      <c r="F5" s="21">
        <v>3295.32</v>
      </c>
      <c r="G5" s="21">
        <v>3531.0450000000001</v>
      </c>
      <c r="H5" s="21">
        <v>3766.7629999999999</v>
      </c>
      <c r="I5" s="21">
        <v>4002.4879999999998</v>
      </c>
      <c r="J5" s="21">
        <v>4238.2060000000001</v>
      </c>
      <c r="K5" s="21">
        <v>4473.9239999999991</v>
      </c>
      <c r="L5" s="21">
        <v>4709.6489999999994</v>
      </c>
      <c r="M5" s="21">
        <v>4945.3670000000002</v>
      </c>
      <c r="N5" s="21">
        <v>5181.085</v>
      </c>
      <c r="O5" s="21">
        <v>5416.8099999999995</v>
      </c>
      <c r="P5" s="21">
        <v>5652.5279999999993</v>
      </c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</row>
    <row r="6" spans="1:38" ht="16" customHeight="1" x14ac:dyDescent="0.25">
      <c r="A6" s="14" t="str">
        <f ca="1">IF(ISNA(VLOOKUP($B6,KeyAll,COLUMN(Key!$C$4),0))=TRUE,"No key!",VLOOKUP($B6,KeyAll,COLUMN(Key!$C$4),0))</f>
        <v>B-00G</v>
      </c>
      <c r="B6" s="14" t="s">
        <v>97</v>
      </c>
      <c r="C6" s="1" t="str">
        <f ca="1">IF(ISNA(VLOOKUP($B6,KeyAll,COLUMN(Key!$B$4),0))=TRUE,"No key!",VLOOKUP($B6,KeyAll,COLUMN(Key!$B$4),0))</f>
        <v>Plant &amp; Equipment - Cost</v>
      </c>
      <c r="D6" s="21">
        <v>5311.5649999999996</v>
      </c>
      <c r="E6" s="21">
        <v>5311.5649999999996</v>
      </c>
      <c r="F6" s="21">
        <v>5608.5819999999994</v>
      </c>
      <c r="G6" s="21">
        <v>5905.5989999999993</v>
      </c>
      <c r="H6" s="21">
        <v>6202.6229999999996</v>
      </c>
      <c r="I6" s="21">
        <v>6499.64</v>
      </c>
      <c r="J6" s="21">
        <v>6796.6639999999998</v>
      </c>
      <c r="K6" s="21">
        <v>7093.6809999999996</v>
      </c>
      <c r="L6" s="21">
        <v>7390.6979999999994</v>
      </c>
      <c r="M6" s="21">
        <v>7687.7219999999988</v>
      </c>
      <c r="N6" s="21">
        <v>7984.7389999999996</v>
      </c>
      <c r="O6" s="21">
        <v>8281.762999999999</v>
      </c>
      <c r="P6" s="21">
        <v>8578.7799999999988</v>
      </c>
      <c r="T6" s="21"/>
      <c r="U6" s="21"/>
      <c r="V6" s="21"/>
      <c r="W6" s="21"/>
      <c r="X6" s="21"/>
      <c r="Y6" s="21"/>
      <c r="Z6" s="21"/>
      <c r="AA6" s="21"/>
      <c r="AB6" s="21"/>
    </row>
    <row r="7" spans="1:38" ht="16" customHeight="1" x14ac:dyDescent="0.25">
      <c r="A7" s="14" t="str">
        <f ca="1">IF(ISNA(VLOOKUP($B7,KeyAll,COLUMN(Key!$C$4),0))=TRUE,"No key!",VLOOKUP($B7,KeyAll,COLUMN(Key!$C$4),0))</f>
        <v>B-00G</v>
      </c>
      <c r="B7" s="14" t="s">
        <v>99</v>
      </c>
      <c r="C7" s="1" t="str">
        <f ca="1">IF(ISNA(VLOOKUP($B7,KeyAll,COLUMN(Key!$B$4),0))=TRUE,"No key!",VLOOKUP($B7,KeyAll,COLUMN(Key!$B$4),0))</f>
        <v>Furniture &amp; Fittings - Cost</v>
      </c>
      <c r="D7" s="21">
        <v>1682.9189999999999</v>
      </c>
      <c r="E7" s="21">
        <v>1682.9189999999999</v>
      </c>
      <c r="F7" s="21">
        <v>1732.3249999999998</v>
      </c>
      <c r="G7" s="21">
        <v>1781.7380000000001</v>
      </c>
      <c r="H7" s="21">
        <v>1831.144</v>
      </c>
      <c r="I7" s="21">
        <v>1880.557</v>
      </c>
      <c r="J7" s="21">
        <v>1929.9699999999998</v>
      </c>
      <c r="K7" s="21">
        <v>1979.3759999999997</v>
      </c>
      <c r="L7" s="21">
        <v>2028.7889999999998</v>
      </c>
      <c r="M7" s="21">
        <v>2078.1949999999997</v>
      </c>
      <c r="N7" s="21">
        <v>2127.6079999999997</v>
      </c>
      <c r="O7" s="21">
        <v>2177.0139999999997</v>
      </c>
      <c r="P7" s="21">
        <v>2226.4270000000001</v>
      </c>
      <c r="T7" s="21"/>
      <c r="U7" s="21"/>
      <c r="V7" s="21"/>
      <c r="W7" s="21"/>
      <c r="X7" s="21"/>
      <c r="Y7" s="21"/>
      <c r="Z7" s="21"/>
      <c r="AA7" s="21"/>
      <c r="AB7" s="21"/>
    </row>
    <row r="8" spans="1:38" ht="16" customHeight="1" x14ac:dyDescent="0.25">
      <c r="A8" s="14" t="str">
        <f ca="1">IF(ISNA(VLOOKUP($B8,KeyAll,COLUMN(Key!$C$4),0))=TRUE,"No key!",VLOOKUP($B8,KeyAll,COLUMN(Key!$C$4),0))</f>
        <v>B-00G</v>
      </c>
      <c r="B8" s="14" t="s">
        <v>101</v>
      </c>
      <c r="C8" s="1" t="str">
        <f ca="1">IF(ISNA(VLOOKUP($B8,KeyAll,COLUMN(Key!$B$4),0))=TRUE,"No key!",VLOOKUP($B8,KeyAll,COLUMN(Key!$B$4),0))</f>
        <v>Office Equipment - Cost</v>
      </c>
      <c r="D8" s="21">
        <v>1065.925</v>
      </c>
      <c r="E8" s="21">
        <v>1065.925</v>
      </c>
      <c r="F8" s="21">
        <v>1142.6449999999998</v>
      </c>
      <c r="G8" s="21">
        <v>1219.3579999999999</v>
      </c>
      <c r="H8" s="21">
        <v>1296.0709999999999</v>
      </c>
      <c r="I8" s="21">
        <v>1372.7909999999999</v>
      </c>
      <c r="J8" s="21">
        <v>1449.5039999999997</v>
      </c>
      <c r="K8" s="21">
        <v>1526.2169999999999</v>
      </c>
      <c r="L8" s="21">
        <v>1602.9369999999999</v>
      </c>
      <c r="M8" s="21">
        <v>1679.6499999999999</v>
      </c>
      <c r="N8" s="21">
        <v>1756.3630000000001</v>
      </c>
      <c r="O8" s="21">
        <v>1833.0829999999999</v>
      </c>
      <c r="P8" s="21">
        <v>1909.796</v>
      </c>
      <c r="T8" s="21"/>
      <c r="U8" s="21"/>
      <c r="V8" s="21"/>
      <c r="W8" s="21"/>
      <c r="X8" s="21"/>
      <c r="Y8" s="21"/>
      <c r="Z8" s="21"/>
      <c r="AA8" s="21"/>
      <c r="AB8" s="21"/>
    </row>
    <row r="9" spans="1:38" ht="16" customHeight="1" x14ac:dyDescent="0.25">
      <c r="A9" s="14" t="str">
        <f ca="1">IF(ISNA(VLOOKUP($B9,KeyAll,COLUMN(Key!$C$4),0))=TRUE,"No key!",VLOOKUP($B9,KeyAll,COLUMN(Key!$C$4),0))</f>
        <v>B-00G</v>
      </c>
      <c r="B9" s="14" t="s">
        <v>103</v>
      </c>
      <c r="C9" s="1" t="str">
        <f ca="1">IF(ISNA(VLOOKUP($B9,KeyAll,COLUMN(Key!$B$4),0))=TRUE,"No key!",VLOOKUP($B9,KeyAll,COLUMN(Key!$B$4),0))</f>
        <v>Computer Equipment - Cost</v>
      </c>
      <c r="D9" s="21">
        <v>4487.0279999999993</v>
      </c>
      <c r="E9" s="21">
        <v>4487.0279999999993</v>
      </c>
      <c r="F9" s="21">
        <v>4767.3919999999998</v>
      </c>
      <c r="G9" s="21">
        <v>5047.7629999999999</v>
      </c>
      <c r="H9" s="21">
        <v>5328.134</v>
      </c>
      <c r="I9" s="21">
        <v>5608.4979999999996</v>
      </c>
      <c r="J9" s="21">
        <v>5888.8689999999997</v>
      </c>
      <c r="K9" s="21">
        <v>6169.24</v>
      </c>
      <c r="L9" s="21">
        <v>6449.6039999999994</v>
      </c>
      <c r="M9" s="21">
        <v>6729.9749999999995</v>
      </c>
      <c r="N9" s="21">
        <v>7010.3460000000005</v>
      </c>
      <c r="O9" s="21">
        <v>7290.7099999999991</v>
      </c>
      <c r="P9" s="21">
        <v>7571.0809999999992</v>
      </c>
      <c r="T9" s="21"/>
      <c r="U9" s="21"/>
      <c r="V9" s="21"/>
      <c r="W9" s="21"/>
      <c r="X9" s="21"/>
      <c r="Y9" s="21"/>
      <c r="Z9" s="21"/>
      <c r="AA9" s="21"/>
      <c r="AB9" s="21"/>
    </row>
    <row r="10" spans="1:38" ht="16" customHeight="1" x14ac:dyDescent="0.25">
      <c r="A10" s="14" t="str">
        <f ca="1">IF(ISNA(VLOOKUP($B10,KeyAll,COLUMN(Key!$C$4),0))=TRUE,"No key!",VLOOKUP($B10,KeyAll,COLUMN(Key!$C$4),0))</f>
        <v>B-00G</v>
      </c>
      <c r="B10" s="14" t="s">
        <v>105</v>
      </c>
      <c r="C10" s="1" t="str">
        <f ca="1">IF(ISNA(VLOOKUP($B10,KeyAll,COLUMN(Key!$B$4),0))=TRUE,"No key!",VLOOKUP($B10,KeyAll,COLUMN(Key!$B$4),0))</f>
        <v>Other Assets - Cost</v>
      </c>
      <c r="D10" s="21">
        <v>829.6819999999999</v>
      </c>
      <c r="E10" s="21">
        <v>829.6819999999999</v>
      </c>
      <c r="F10" s="21">
        <v>894.55799999999999</v>
      </c>
      <c r="G10" s="21">
        <v>959.43399999999986</v>
      </c>
      <c r="H10" s="21">
        <v>1024.31</v>
      </c>
      <c r="I10" s="21">
        <v>1089.1859999999999</v>
      </c>
      <c r="J10" s="21">
        <v>1154.069</v>
      </c>
      <c r="K10" s="21">
        <v>1218.9449999999999</v>
      </c>
      <c r="L10" s="21">
        <v>1283.8209999999999</v>
      </c>
      <c r="M10" s="21">
        <v>1348.6969999999999</v>
      </c>
      <c r="N10" s="21">
        <v>1413.5730000000001</v>
      </c>
      <c r="O10" s="21">
        <v>1478.4490000000001</v>
      </c>
      <c r="P10" s="21">
        <v>1543.3249999999998</v>
      </c>
      <c r="T10" s="21"/>
      <c r="U10" s="21"/>
      <c r="V10" s="21"/>
      <c r="W10" s="21"/>
      <c r="X10" s="21"/>
      <c r="Y10" s="21"/>
      <c r="Z10" s="21"/>
      <c r="AA10" s="21"/>
      <c r="AB10" s="21"/>
    </row>
    <row r="11" spans="1:38" ht="16" customHeight="1" x14ac:dyDescent="0.25">
      <c r="A11" s="14" t="str">
        <f ca="1">IF(ISNA(VLOOKUP($B11,KeyAll,COLUMN(Key!$C$4),0))=TRUE,"No key!",VLOOKUP($B11,KeyAll,COLUMN(Key!$C$4),0))</f>
        <v>B-01G</v>
      </c>
      <c r="B11" s="14" t="s">
        <v>107</v>
      </c>
      <c r="C11" s="1" t="str">
        <f ca="1">IF(ISNA(VLOOKUP($B11,KeyAll,COLUMN(Key!$B$4),0))=TRUE,"No key!",VLOOKUP($B11,KeyAll,COLUMN(Key!$B$4),0))</f>
        <v>Land &amp; Buildings - Accum Depreciation</v>
      </c>
      <c r="D11" s="21">
        <v>6178.97</v>
      </c>
      <c r="E11" s="21">
        <v>6178.97</v>
      </c>
      <c r="F11" s="21">
        <v>6317.5770000000002</v>
      </c>
      <c r="G11" s="21">
        <v>6456.1840000000002</v>
      </c>
      <c r="H11" s="21">
        <v>6594.7840000000006</v>
      </c>
      <c r="I11" s="21">
        <v>6733.3909999999987</v>
      </c>
      <c r="J11" s="21">
        <v>6871.9979999999996</v>
      </c>
      <c r="K11" s="21">
        <v>7010.6049999999996</v>
      </c>
      <c r="L11" s="21">
        <v>7149.2119999999995</v>
      </c>
      <c r="M11" s="21">
        <v>7287.8189999999995</v>
      </c>
      <c r="N11" s="21">
        <v>7426.4189999999999</v>
      </c>
      <c r="O11" s="21">
        <v>7565.0259999999998</v>
      </c>
      <c r="P11" s="21">
        <v>7703.6329999999998</v>
      </c>
      <c r="T11" s="21"/>
      <c r="U11" s="21"/>
      <c r="V11" s="21"/>
      <c r="W11" s="21"/>
      <c r="X11" s="21"/>
      <c r="Y11" s="21"/>
      <c r="Z11" s="21"/>
      <c r="AA11" s="21"/>
      <c r="AB11" s="21"/>
    </row>
    <row r="12" spans="1:38" ht="16" customHeight="1" x14ac:dyDescent="0.25">
      <c r="A12" s="14" t="str">
        <f ca="1">IF(ISNA(VLOOKUP($B12,KeyAll,COLUMN(Key!$C$4),0))=TRUE,"No key!",VLOOKUP($B12,KeyAll,COLUMN(Key!$C$4),0))</f>
        <v>B-01G</v>
      </c>
      <c r="B12" s="14" t="s">
        <v>109</v>
      </c>
      <c r="C12" s="1" t="str">
        <f ca="1">IF(ISNA(VLOOKUP($B12,KeyAll,COLUMN(Key!$B$4),0))=TRUE,"No key!",VLOOKUP($B12,KeyAll,COLUMN(Key!$B$4),0))</f>
        <v>Plant &amp; Equipment - Accum Depreciation</v>
      </c>
      <c r="D12" s="21">
        <v>2990.9390000000003</v>
      </c>
      <c r="E12" s="21">
        <v>2990.9390000000003</v>
      </c>
      <c r="F12" s="21">
        <v>3055.0029999999997</v>
      </c>
      <c r="G12" s="21">
        <v>3119.067</v>
      </c>
      <c r="H12" s="21">
        <v>3183.1309999999999</v>
      </c>
      <c r="I12" s="21">
        <v>3247.1950000000002</v>
      </c>
      <c r="J12" s="21">
        <v>3311.2589999999996</v>
      </c>
      <c r="K12" s="21">
        <v>3375.3229999999999</v>
      </c>
      <c r="L12" s="21">
        <v>3439.3869999999997</v>
      </c>
      <c r="M12" s="21">
        <v>3503.451</v>
      </c>
      <c r="N12" s="21">
        <v>3567.5149999999999</v>
      </c>
      <c r="O12" s="21">
        <v>3631.5789999999997</v>
      </c>
      <c r="P12" s="21">
        <v>3695.6429999999996</v>
      </c>
      <c r="T12" s="21"/>
      <c r="U12" s="21"/>
      <c r="V12" s="21"/>
      <c r="W12" s="21"/>
      <c r="X12" s="21"/>
      <c r="Y12" s="21"/>
      <c r="Z12" s="21"/>
      <c r="AA12" s="21"/>
      <c r="AB12" s="21"/>
    </row>
    <row r="13" spans="1:38" ht="16" customHeight="1" x14ac:dyDescent="0.25">
      <c r="A13" s="14" t="str">
        <f ca="1">IF(ISNA(VLOOKUP($B13,KeyAll,COLUMN(Key!$C$4),0))=TRUE,"No key!",VLOOKUP($B13,KeyAll,COLUMN(Key!$C$4),0))</f>
        <v>B-01G</v>
      </c>
      <c r="B13" s="14" t="s">
        <v>111</v>
      </c>
      <c r="C13" s="1" t="str">
        <f ca="1">IF(ISNA(VLOOKUP($B13,KeyAll,COLUMN(Key!$B$4),0))=TRUE,"No key!",VLOOKUP($B13,KeyAll,COLUMN(Key!$B$4),0))</f>
        <v>Furniture &amp; Fittings - Accum Depreciation</v>
      </c>
      <c r="D13" s="21">
        <v>3590.7899999999995</v>
      </c>
      <c r="E13" s="21">
        <v>3590.7899999999995</v>
      </c>
      <c r="F13" s="21">
        <v>3710.6019999999994</v>
      </c>
      <c r="G13" s="21">
        <v>3830.4140000000002</v>
      </c>
      <c r="H13" s="21">
        <v>3950.2260000000001</v>
      </c>
      <c r="I13" s="21">
        <v>4070.038</v>
      </c>
      <c r="J13" s="21">
        <v>4189.8499999999995</v>
      </c>
      <c r="K13" s="21">
        <v>4309.6549999999997</v>
      </c>
      <c r="L13" s="21">
        <v>4429.4669999999996</v>
      </c>
      <c r="M13" s="21">
        <v>4549.2789999999995</v>
      </c>
      <c r="N13" s="21">
        <v>4669.0909999999994</v>
      </c>
      <c r="O13" s="21">
        <v>4788.9029999999993</v>
      </c>
      <c r="P13" s="21">
        <v>4908.7149999999992</v>
      </c>
      <c r="T13" s="21"/>
      <c r="U13" s="21"/>
      <c r="V13" s="21"/>
      <c r="W13" s="21"/>
      <c r="X13" s="21"/>
      <c r="Y13" s="21"/>
      <c r="Z13" s="21"/>
      <c r="AA13" s="21"/>
      <c r="AB13" s="21"/>
    </row>
    <row r="14" spans="1:38" ht="16" customHeight="1" x14ac:dyDescent="0.25">
      <c r="A14" s="14" t="str">
        <f ca="1">IF(ISNA(VLOOKUP($B14,KeyAll,COLUMN(Key!$C$4),0))=TRUE,"No key!",VLOOKUP($B14,KeyAll,COLUMN(Key!$C$4),0))</f>
        <v>B-01G</v>
      </c>
      <c r="B14" s="14" t="s">
        <v>113</v>
      </c>
      <c r="C14" s="1" t="str">
        <f ca="1">IF(ISNA(VLOOKUP($B14,KeyAll,COLUMN(Key!$B$4),0))=TRUE,"No key!",VLOOKUP($B14,KeyAll,COLUMN(Key!$B$4),0))</f>
        <v>Office Equipment -  Accum Depreciation</v>
      </c>
      <c r="D14" s="21">
        <v>4216.5339999999997</v>
      </c>
      <c r="E14" s="21">
        <v>4216.5339999999997</v>
      </c>
      <c r="F14" s="21">
        <v>4322.759</v>
      </c>
      <c r="G14" s="21">
        <v>4428.9839999999995</v>
      </c>
      <c r="H14" s="21">
        <v>4535.2089999999998</v>
      </c>
      <c r="I14" s="21">
        <v>4641.4409999999998</v>
      </c>
      <c r="J14" s="21">
        <v>4747.6660000000002</v>
      </c>
      <c r="K14" s="21">
        <v>4853.8909999999996</v>
      </c>
      <c r="L14" s="21">
        <v>4960.1229999999996</v>
      </c>
      <c r="M14" s="21">
        <v>5066.348</v>
      </c>
      <c r="N14" s="21">
        <v>5172.5730000000003</v>
      </c>
      <c r="O14" s="21">
        <v>5278.8049999999994</v>
      </c>
      <c r="P14" s="21">
        <v>5385.03</v>
      </c>
      <c r="T14" s="21"/>
      <c r="U14" s="21"/>
      <c r="V14" s="21"/>
      <c r="W14" s="21"/>
      <c r="X14" s="21"/>
      <c r="Y14" s="21"/>
      <c r="Z14" s="21"/>
      <c r="AA14" s="21"/>
      <c r="AB14" s="21"/>
    </row>
    <row r="15" spans="1:38" ht="16" customHeight="1" x14ac:dyDescent="0.25">
      <c r="A15" s="14" t="str">
        <f ca="1">IF(ISNA(VLOOKUP($B15,KeyAll,COLUMN(Key!$C$4),0))=TRUE,"No key!",VLOOKUP($B15,KeyAll,COLUMN(Key!$C$4),0))</f>
        <v>B-01G</v>
      </c>
      <c r="B15" s="14" t="s">
        <v>115</v>
      </c>
      <c r="C15" s="1" t="str">
        <f ca="1">IF(ISNA(VLOOKUP($B15,KeyAll,COLUMN(Key!$B$4),0))=TRUE,"No key!",VLOOKUP($B15,KeyAll,COLUMN(Key!$B$4),0))</f>
        <v>Computer Equipment -  Accum Depreciation</v>
      </c>
      <c r="D15" s="21">
        <v>5098.0789999999997</v>
      </c>
      <c r="E15" s="21">
        <v>5098.0789999999997</v>
      </c>
      <c r="F15" s="21">
        <v>5199.4390000000003</v>
      </c>
      <c r="G15" s="21">
        <v>5300.7989999999991</v>
      </c>
      <c r="H15" s="21">
        <v>5402.1660000000002</v>
      </c>
      <c r="I15" s="21">
        <v>5503.5259999999998</v>
      </c>
      <c r="J15" s="21">
        <v>5604.8859999999995</v>
      </c>
      <c r="K15" s="21">
        <v>5706.2459999999992</v>
      </c>
      <c r="L15" s="21">
        <v>5807.6059999999998</v>
      </c>
      <c r="M15" s="21">
        <v>5908.972999999999</v>
      </c>
      <c r="N15" s="21">
        <v>6010.3329999999996</v>
      </c>
      <c r="O15" s="21">
        <v>6111.6929999999993</v>
      </c>
      <c r="P15" s="21">
        <v>6213.0529999999999</v>
      </c>
      <c r="T15" s="21"/>
      <c r="U15" s="21"/>
      <c r="V15" s="21"/>
      <c r="W15" s="21"/>
      <c r="X15" s="21"/>
      <c r="Y15" s="21"/>
      <c r="Z15" s="21"/>
      <c r="AA15" s="21"/>
      <c r="AB15" s="21"/>
    </row>
    <row r="16" spans="1:38" ht="16" customHeight="1" x14ac:dyDescent="0.25">
      <c r="A16" s="14" t="str">
        <f ca="1">IF(ISNA(VLOOKUP($B16,KeyAll,COLUMN(Key!$C$4),0))=TRUE,"No key!",VLOOKUP($B16,KeyAll,COLUMN(Key!$C$4),0))</f>
        <v>B-01G</v>
      </c>
      <c r="B16" s="14" t="s">
        <v>117</v>
      </c>
      <c r="C16" s="1" t="str">
        <f ca="1">IF(ISNA(VLOOKUP($B16,KeyAll,COLUMN(Key!$B$4),0))=TRUE,"No key!",VLOOKUP($B16,KeyAll,COLUMN(Key!$B$4),0))</f>
        <v>Other Assets -  Accum Depreciation</v>
      </c>
      <c r="D16" s="21">
        <v>3531.5070000000001</v>
      </c>
      <c r="E16" s="21">
        <v>3531.5070000000001</v>
      </c>
      <c r="F16" s="21">
        <v>3629.7659999999996</v>
      </c>
      <c r="G16" s="21">
        <v>3728.0179999999996</v>
      </c>
      <c r="H16" s="21">
        <v>3826.2769999999996</v>
      </c>
      <c r="I16" s="21">
        <v>3924.5359999999996</v>
      </c>
      <c r="J16" s="21">
        <v>4022.788</v>
      </c>
      <c r="K16" s="21">
        <v>4121.0469999999996</v>
      </c>
      <c r="L16" s="21">
        <v>4219.299</v>
      </c>
      <c r="M16" s="21">
        <v>4317.5579999999991</v>
      </c>
      <c r="N16" s="21">
        <v>4415.8099999999995</v>
      </c>
      <c r="O16" s="21">
        <v>4514.0689999999995</v>
      </c>
      <c r="P16" s="21">
        <v>4612.3279999999995</v>
      </c>
      <c r="T16" s="21"/>
      <c r="U16" s="21"/>
      <c r="V16" s="21"/>
      <c r="W16" s="21"/>
      <c r="X16" s="21"/>
      <c r="Y16" s="21"/>
      <c r="Z16" s="21"/>
      <c r="AA16" s="21"/>
      <c r="AB16" s="21"/>
    </row>
    <row r="17" spans="1:28" ht="16" customHeight="1" x14ac:dyDescent="0.25">
      <c r="A17" s="14" t="str">
        <f ca="1">IF(ISNA(VLOOKUP($B17,KeyAll,COLUMN(Key!$C$4),0))=TRUE,"No key!",VLOOKUP($B17,KeyAll,COLUMN(Key!$C$4),0))</f>
        <v>B-02G</v>
      </c>
      <c r="B17" s="14" t="s">
        <v>130</v>
      </c>
      <c r="C17" s="1" t="str">
        <f ca="1">IF(ISNA(VLOOKUP($B17,KeyAll,COLUMN(Key!$B$4),0))=TRUE,"No key!",VLOOKUP($B17,KeyAll,COLUMN(Key!$B$4),0))</f>
        <v>Goodwill - Cost</v>
      </c>
      <c r="D17" s="21">
        <v>3573.241</v>
      </c>
      <c r="E17" s="21">
        <v>3573.241</v>
      </c>
      <c r="F17" s="21">
        <v>3813.0399999999995</v>
      </c>
      <c r="G17" s="21">
        <v>4052.8459999999995</v>
      </c>
      <c r="H17" s="21">
        <v>4292.6450000000004</v>
      </c>
      <c r="I17" s="21">
        <v>4532.451</v>
      </c>
      <c r="J17" s="21">
        <v>4772.25</v>
      </c>
      <c r="K17" s="21">
        <v>5012.0559999999996</v>
      </c>
      <c r="L17" s="21">
        <v>5251.8549999999996</v>
      </c>
      <c r="M17" s="21">
        <v>5491.6609999999991</v>
      </c>
      <c r="N17" s="21">
        <v>5731.46</v>
      </c>
      <c r="O17" s="21">
        <v>5971.2659999999987</v>
      </c>
      <c r="P17" s="21">
        <v>6211.0650000000005</v>
      </c>
      <c r="T17" s="21"/>
      <c r="U17" s="21"/>
      <c r="V17" s="21"/>
      <c r="W17" s="21"/>
      <c r="X17" s="21"/>
      <c r="Y17" s="21"/>
      <c r="Z17" s="21"/>
      <c r="AA17" s="21"/>
      <c r="AB17" s="21"/>
    </row>
    <row r="18" spans="1:28" ht="16" customHeight="1" x14ac:dyDescent="0.25">
      <c r="A18" s="14" t="str">
        <f ca="1">IF(ISNA(VLOOKUP($B18,KeyAll,COLUMN(Key!$C$4),0))=TRUE,"No key!",VLOOKUP($B18,KeyAll,COLUMN(Key!$C$4),0))</f>
        <v>B-02G</v>
      </c>
      <c r="B18" s="14" t="s">
        <v>132</v>
      </c>
      <c r="C18" s="1" t="str">
        <f ca="1">IF(ISNA(VLOOKUP($B18,KeyAll,COLUMN(Key!$B$4),0))=TRUE,"No key!",VLOOKUP($B18,KeyAll,COLUMN(Key!$B$4),0))</f>
        <v>Trademarks - Cost</v>
      </c>
      <c r="D18" s="21">
        <v>1957.9419999999998</v>
      </c>
      <c r="E18" s="21">
        <v>1957.9419999999998</v>
      </c>
      <c r="F18" s="21">
        <v>2057.5169999999998</v>
      </c>
      <c r="G18" s="21">
        <v>2157.085</v>
      </c>
      <c r="H18" s="21">
        <v>2256.6529999999998</v>
      </c>
      <c r="I18" s="21">
        <v>2356.221</v>
      </c>
      <c r="J18" s="21">
        <v>2455.7889999999998</v>
      </c>
      <c r="K18" s="21">
        <v>2555.364</v>
      </c>
      <c r="L18" s="21">
        <v>2654.9319999999998</v>
      </c>
      <c r="M18" s="21">
        <v>2754.5</v>
      </c>
      <c r="N18" s="21">
        <v>2854.0679999999998</v>
      </c>
      <c r="O18" s="21">
        <v>2953.6359999999995</v>
      </c>
      <c r="P18" s="21">
        <v>3053.2109999999993</v>
      </c>
      <c r="T18" s="21"/>
      <c r="U18" s="21"/>
      <c r="V18" s="21"/>
      <c r="W18" s="21"/>
      <c r="X18" s="21"/>
      <c r="Y18" s="21"/>
      <c r="Z18" s="21"/>
      <c r="AA18" s="21"/>
      <c r="AB18" s="21"/>
    </row>
    <row r="19" spans="1:28" ht="16" customHeight="1" x14ac:dyDescent="0.25">
      <c r="A19" s="14" t="str">
        <f ca="1">IF(ISNA(VLOOKUP($B19,KeyAll,COLUMN(Key!$C$4),0))=TRUE,"No key!",VLOOKUP($B19,KeyAll,COLUMN(Key!$C$4),0))</f>
        <v>B-02G</v>
      </c>
      <c r="B19" s="14" t="s">
        <v>134</v>
      </c>
      <c r="C19" s="1" t="str">
        <f ca="1">IF(ISNA(VLOOKUP($B19,KeyAll,COLUMN(Key!$B$4),0))=TRUE,"No key!",VLOOKUP($B19,KeyAll,COLUMN(Key!$B$4),0))</f>
        <v>Software - Cost</v>
      </c>
      <c r="D19" s="21">
        <v>4432.2109999999993</v>
      </c>
      <c r="E19" s="21">
        <v>4432.2109999999993</v>
      </c>
      <c r="F19" s="21">
        <v>4533.2069999999994</v>
      </c>
      <c r="G19" s="21">
        <v>4634.2029999999995</v>
      </c>
      <c r="H19" s="21">
        <v>4735.2059999999992</v>
      </c>
      <c r="I19" s="21">
        <v>4836.2019999999993</v>
      </c>
      <c r="J19" s="21">
        <v>4937.1980000000003</v>
      </c>
      <c r="K19" s="21">
        <v>5038.1939999999995</v>
      </c>
      <c r="L19" s="21">
        <v>5139.1899999999996</v>
      </c>
      <c r="M19" s="21">
        <v>5240.1859999999997</v>
      </c>
      <c r="N19" s="21">
        <v>5341.1819999999998</v>
      </c>
      <c r="O19" s="21">
        <v>5442.1779999999999</v>
      </c>
      <c r="P19" s="21">
        <v>5543.1809999999996</v>
      </c>
      <c r="T19" s="21"/>
      <c r="U19" s="21"/>
      <c r="V19" s="21"/>
      <c r="W19" s="21"/>
      <c r="X19" s="21"/>
      <c r="Y19" s="21"/>
      <c r="Z19" s="21"/>
      <c r="AA19" s="21"/>
      <c r="AB19" s="21"/>
    </row>
    <row r="20" spans="1:28" ht="16" customHeight="1" x14ac:dyDescent="0.25">
      <c r="A20" s="14" t="str">
        <f ca="1">IF(ISNA(VLOOKUP($B20,KeyAll,COLUMN(Key!$C$4),0))=TRUE,"No key!",VLOOKUP($B20,KeyAll,COLUMN(Key!$C$4),0))</f>
        <v>B-03G</v>
      </c>
      <c r="B20" s="14" t="s">
        <v>136</v>
      </c>
      <c r="C20" s="1" t="str">
        <f ca="1">IF(ISNA(VLOOKUP($B20,KeyAll,COLUMN(Key!$B$4),0))=TRUE,"No key!",VLOOKUP($B20,KeyAll,COLUMN(Key!$B$4),0))</f>
        <v>Goodwill - Accum Amortization</v>
      </c>
      <c r="D20" s="21">
        <v>5076.9669999999996</v>
      </c>
      <c r="E20" s="21">
        <v>5076.9669999999996</v>
      </c>
      <c r="F20" s="21">
        <v>5183.4229999999998</v>
      </c>
      <c r="G20" s="21">
        <v>5289.8789999999999</v>
      </c>
      <c r="H20" s="21">
        <v>5396.335</v>
      </c>
      <c r="I20" s="21">
        <v>5502.7910000000002</v>
      </c>
      <c r="J20" s="21">
        <v>5609.2469999999994</v>
      </c>
      <c r="K20" s="21">
        <v>5715.7029999999995</v>
      </c>
      <c r="L20" s="21">
        <v>5822.1590000000006</v>
      </c>
      <c r="M20" s="21">
        <v>5928.6149999999998</v>
      </c>
      <c r="N20" s="21">
        <v>6035.0709999999999</v>
      </c>
      <c r="O20" s="21">
        <v>6141.527</v>
      </c>
      <c r="P20" s="21">
        <v>6247.9830000000002</v>
      </c>
      <c r="T20" s="21"/>
      <c r="U20" s="21"/>
      <c r="V20" s="21"/>
      <c r="W20" s="21"/>
      <c r="X20" s="21"/>
      <c r="Y20" s="21"/>
      <c r="Z20" s="21"/>
      <c r="AA20" s="21"/>
      <c r="AB20" s="21"/>
    </row>
    <row r="21" spans="1:28" ht="16" customHeight="1" x14ac:dyDescent="0.25">
      <c r="A21" s="14" t="str">
        <f ca="1">IF(ISNA(VLOOKUP($B21,KeyAll,COLUMN(Key!$C$4),0))=TRUE,"No key!",VLOOKUP($B21,KeyAll,COLUMN(Key!$C$4),0))</f>
        <v>B-03G</v>
      </c>
      <c r="B21" s="14" t="s">
        <v>138</v>
      </c>
      <c r="C21" s="1" t="str">
        <f ca="1">IF(ISNA(VLOOKUP($B21,KeyAll,COLUMN(Key!$B$4),0))=TRUE,"No key!",VLOOKUP($B21,KeyAll,COLUMN(Key!$B$4),0))</f>
        <v>Trademarks - Accum Amortization</v>
      </c>
      <c r="D21" s="21">
        <v>2418.752</v>
      </c>
      <c r="E21" s="21">
        <v>2418.752</v>
      </c>
      <c r="F21" s="21">
        <v>2535.3649999999998</v>
      </c>
      <c r="G21" s="21">
        <v>2651.971</v>
      </c>
      <c r="H21" s="21">
        <v>2768.5839999999998</v>
      </c>
      <c r="I21" s="21">
        <v>2885.1969999999997</v>
      </c>
      <c r="J21" s="21">
        <v>3001.8029999999999</v>
      </c>
      <c r="K21" s="21">
        <v>3118.4159999999997</v>
      </c>
      <c r="L21" s="21">
        <v>3235.029</v>
      </c>
      <c r="M21" s="21">
        <v>3351.6349999999998</v>
      </c>
      <c r="N21" s="21">
        <v>3468.248</v>
      </c>
      <c r="O21" s="21">
        <v>3584.8609999999994</v>
      </c>
      <c r="P21" s="21">
        <v>3701.4670000000001</v>
      </c>
      <c r="T21" s="21"/>
      <c r="U21" s="21"/>
      <c r="V21" s="21"/>
      <c r="W21" s="21"/>
      <c r="X21" s="21"/>
      <c r="Y21" s="21"/>
      <c r="Z21" s="21"/>
      <c r="AA21" s="21"/>
      <c r="AB21" s="21"/>
    </row>
    <row r="22" spans="1:28" ht="16" customHeight="1" x14ac:dyDescent="0.25">
      <c r="A22" s="14" t="str">
        <f ca="1">IF(ISNA(VLOOKUP($B22,KeyAll,COLUMN(Key!$C$4),0))=TRUE,"No key!",VLOOKUP($B22,KeyAll,COLUMN(Key!$C$4),0))</f>
        <v>B-03G</v>
      </c>
      <c r="B22" s="14" t="s">
        <v>140</v>
      </c>
      <c r="C22" s="1" t="str">
        <f ca="1">IF(ISNA(VLOOKUP($B22,KeyAll,COLUMN(Key!$B$4),0))=TRUE,"No key!",VLOOKUP($B22,KeyAll,COLUMN(Key!$B$4),0))</f>
        <v>Software - Accum Amortization</v>
      </c>
      <c r="D22" s="21">
        <v>6831.5940000000001</v>
      </c>
      <c r="E22" s="21">
        <v>6831.5940000000001</v>
      </c>
      <c r="F22" s="21">
        <v>7127.3649999999998</v>
      </c>
      <c r="G22" s="21">
        <v>7423.128999999999</v>
      </c>
      <c r="H22" s="21">
        <v>7718.9</v>
      </c>
      <c r="I22" s="21">
        <v>8014.6639999999998</v>
      </c>
      <c r="J22" s="21">
        <v>8310.4279999999999</v>
      </c>
      <c r="K22" s="21">
        <v>8606.1989999999987</v>
      </c>
      <c r="L22" s="21">
        <v>8901.9629999999997</v>
      </c>
      <c r="M22" s="21">
        <v>9197.726999999999</v>
      </c>
      <c r="N22" s="21">
        <v>9493.4979999999996</v>
      </c>
      <c r="O22" s="21">
        <v>9789.2619999999988</v>
      </c>
      <c r="P22" s="21">
        <v>10085.026</v>
      </c>
      <c r="T22" s="21"/>
      <c r="U22" s="21"/>
      <c r="V22" s="21"/>
      <c r="W22" s="21"/>
      <c r="X22" s="21"/>
      <c r="Y22" s="21"/>
      <c r="Z22" s="21"/>
      <c r="AA22" s="21"/>
      <c r="AB22" s="21"/>
    </row>
    <row r="23" spans="1:28" ht="16" customHeight="1" x14ac:dyDescent="0.25">
      <c r="A23" s="14" t="str">
        <f ca="1">IF(ISNA(VLOOKUP($B23,KeyAll,COLUMN(Key!$C$4),0))=TRUE,"No key!",VLOOKUP($B23,KeyAll,COLUMN(Key!$C$4),0))</f>
        <v>B-04G</v>
      </c>
      <c r="B23" s="14" t="s">
        <v>142</v>
      </c>
      <c r="C23" s="1" t="str">
        <f ca="1">IF(ISNA(VLOOKUP($B23,KeyAll,COLUMN(Key!$B$4),0))=TRUE,"No key!",VLOOKUP($B23,KeyAll,COLUMN(Key!$B$4),0))</f>
        <v>Investments</v>
      </c>
      <c r="D23" s="21">
        <v>2619.0639999999999</v>
      </c>
      <c r="E23" s="21">
        <v>2619.0639999999999</v>
      </c>
      <c r="F23" s="21">
        <v>2686.7959999999998</v>
      </c>
      <c r="G23" s="21">
        <v>2754.5279999999998</v>
      </c>
      <c r="H23" s="21">
        <v>2822.2599999999998</v>
      </c>
      <c r="I23" s="21">
        <v>2889.9850000000001</v>
      </c>
      <c r="J23" s="21">
        <v>2957.7170000000001</v>
      </c>
      <c r="K23" s="21">
        <v>3025.4489999999996</v>
      </c>
      <c r="L23" s="21">
        <v>3093.1739999999995</v>
      </c>
      <c r="M23" s="21">
        <v>3160.9059999999999</v>
      </c>
      <c r="N23" s="21">
        <v>3228.6379999999999</v>
      </c>
      <c r="O23" s="21">
        <v>3296.3629999999998</v>
      </c>
      <c r="P23" s="21">
        <v>3364.0950000000003</v>
      </c>
      <c r="T23" s="21"/>
      <c r="U23" s="21"/>
      <c r="V23" s="21"/>
      <c r="W23" s="21"/>
      <c r="X23" s="21"/>
      <c r="Y23" s="21"/>
      <c r="Z23" s="21"/>
      <c r="AA23" s="21"/>
      <c r="AB23" s="21"/>
    </row>
    <row r="24" spans="1:28" ht="16" customHeight="1" x14ac:dyDescent="0.25">
      <c r="A24" s="14" t="str">
        <f ca="1">IF(ISNA(VLOOKUP($B24,KeyAll,COLUMN(Key!$C$4),0))=TRUE,"No key!",VLOOKUP($B24,KeyAll,COLUMN(Key!$C$4),0))</f>
        <v>B-05G</v>
      </c>
      <c r="B24" s="14" t="s">
        <v>155</v>
      </c>
      <c r="C24" s="1" t="str">
        <f ca="1">IF(ISNA(VLOOKUP($B24,KeyAll,COLUMN(Key!$B$4),0))=TRUE,"No key!",VLOOKUP($B24,KeyAll,COLUMN(Key!$B$4),0))</f>
        <v>Loans &amp; Advances</v>
      </c>
      <c r="D24" s="21">
        <v>13079.261999999999</v>
      </c>
      <c r="E24" s="21">
        <v>13079.261999999999</v>
      </c>
      <c r="F24" s="21">
        <v>13534.506999999998</v>
      </c>
      <c r="G24" s="21">
        <v>13989.758999999998</v>
      </c>
      <c r="H24" s="21">
        <v>14445.003999999999</v>
      </c>
      <c r="I24" s="21">
        <v>14900.255999999999</v>
      </c>
      <c r="J24" s="21">
        <v>15355.500999999998</v>
      </c>
      <c r="K24" s="21">
        <v>15810.752999999999</v>
      </c>
      <c r="L24" s="21">
        <v>16265.997999999998</v>
      </c>
      <c r="M24" s="21">
        <v>16721.25</v>
      </c>
      <c r="N24" s="21">
        <v>17176.494999999999</v>
      </c>
      <c r="O24" s="21">
        <v>17631.739999999998</v>
      </c>
      <c r="P24" s="21">
        <v>18086.991999999998</v>
      </c>
      <c r="T24" s="21"/>
      <c r="U24" s="21"/>
      <c r="V24" s="21"/>
      <c r="W24" s="21"/>
      <c r="X24" s="21"/>
      <c r="Y24" s="21"/>
      <c r="Z24" s="21"/>
      <c r="AA24" s="21"/>
      <c r="AB24" s="21"/>
    </row>
    <row r="25" spans="1:28" ht="16" customHeight="1" x14ac:dyDescent="0.25">
      <c r="A25" s="14" t="str">
        <f ca="1">IF(ISNA(VLOOKUP($B25,KeyAll,COLUMN(Key!$C$4),0))=TRUE,"No key!",VLOOKUP($B25,KeyAll,COLUMN(Key!$C$4),0))</f>
        <v>B-07G</v>
      </c>
      <c r="B25" s="14" t="s">
        <v>152</v>
      </c>
      <c r="C25" s="1" t="str">
        <f ca="1">IF(ISNA(VLOOKUP($B25,KeyAll,COLUMN(Key!$B$4),0))=TRUE,"No key!",VLOOKUP($B25,KeyAll,COLUMN(Key!$B$4),0))</f>
        <v>Cash On Hand</v>
      </c>
      <c r="D25" s="21">
        <v>5635.6719999999996</v>
      </c>
      <c r="E25" s="21">
        <v>5635.6719999999996</v>
      </c>
      <c r="F25" s="21">
        <v>5803.6509999999998</v>
      </c>
      <c r="G25" s="21">
        <v>5971.6369999999997</v>
      </c>
      <c r="H25" s="21">
        <v>6139.6159999999991</v>
      </c>
      <c r="I25" s="21">
        <v>6307.6019999999999</v>
      </c>
      <c r="J25" s="21">
        <v>6475.5809999999992</v>
      </c>
      <c r="K25" s="21">
        <v>6643.5669999999991</v>
      </c>
      <c r="L25" s="21">
        <v>6811.5460000000003</v>
      </c>
      <c r="M25" s="21">
        <v>6979.5320000000002</v>
      </c>
      <c r="N25" s="21">
        <v>7147.5109999999995</v>
      </c>
      <c r="O25" s="21">
        <v>7315.4969999999985</v>
      </c>
      <c r="P25" s="21">
        <v>7483.4830000000002</v>
      </c>
      <c r="T25" s="21"/>
      <c r="U25" s="21"/>
      <c r="V25" s="21"/>
      <c r="W25" s="21"/>
      <c r="X25" s="21"/>
      <c r="Y25" s="21"/>
      <c r="Z25" s="21"/>
      <c r="AA25" s="21"/>
      <c r="AB25" s="21"/>
    </row>
    <row r="26" spans="1:28" ht="16" customHeight="1" x14ac:dyDescent="0.25">
      <c r="A26" s="14" t="str">
        <f ca="1">IF(ISNA(VLOOKUP($B26,KeyAll,COLUMN(Key!$C$4),0))=TRUE,"No key!",VLOOKUP($B26,KeyAll,COLUMN(Key!$C$4),0))</f>
        <v>B-07G</v>
      </c>
      <c r="B26" s="14" t="s">
        <v>154</v>
      </c>
      <c r="C26" s="1" t="str">
        <f ca="1">IF(ISNA(VLOOKUP($B26,KeyAll,COLUMN(Key!$B$4),0))=TRUE,"No key!",VLOOKUP($B26,KeyAll,COLUMN(Key!$B$4),0))</f>
        <v>Cash Transfer Control</v>
      </c>
      <c r="D26" s="21">
        <v>4101.7969999999996</v>
      </c>
      <c r="E26" s="21">
        <v>4101.7969999999996</v>
      </c>
      <c r="F26" s="21">
        <v>4292.0079999999998</v>
      </c>
      <c r="G26" s="21">
        <v>4482.2259999999997</v>
      </c>
      <c r="H26" s="21">
        <v>4672.4369999999999</v>
      </c>
      <c r="I26" s="21">
        <v>4862.6480000000001</v>
      </c>
      <c r="J26" s="21">
        <v>5052.8589999999995</v>
      </c>
      <c r="K26" s="21">
        <v>5243.07</v>
      </c>
      <c r="L26" s="21">
        <v>5433.2809999999999</v>
      </c>
      <c r="M26" s="21">
        <v>5623.4920000000002</v>
      </c>
      <c r="N26" s="21">
        <v>5813.7099999999991</v>
      </c>
      <c r="O26" s="21">
        <v>6003.9210000000003</v>
      </c>
      <c r="P26" s="21">
        <v>6194.1319999999996</v>
      </c>
      <c r="T26" s="21"/>
      <c r="U26" s="21"/>
      <c r="V26" s="21"/>
      <c r="W26" s="21"/>
      <c r="X26" s="21"/>
      <c r="Y26" s="21"/>
      <c r="Z26" s="21"/>
      <c r="AA26" s="21"/>
      <c r="AB26" s="21"/>
    </row>
    <row r="27" spans="1:28" ht="16" customHeight="1" x14ac:dyDescent="0.25">
      <c r="A27" s="14" t="str">
        <f ca="1">IF(ISNA(VLOOKUP($B27,KeyAll,COLUMN(Key!$C$4),0))=TRUE,"No key!",VLOOKUP($B27,KeyAll,COLUMN(Key!$C$4),0))</f>
        <v>B-09G</v>
      </c>
      <c r="B27" s="14" t="s">
        <v>157</v>
      </c>
      <c r="C27" s="1" t="str">
        <f ca="1">IF(ISNA(VLOOKUP($B27,KeyAll,COLUMN(Key!$B$4),0))=TRUE,"No key!",VLOOKUP($B27,KeyAll,COLUMN(Key!$B$4),0))</f>
        <v>Other Debtors</v>
      </c>
      <c r="D27" s="21">
        <v>7122.92</v>
      </c>
      <c r="E27" s="21">
        <v>7122.92</v>
      </c>
      <c r="F27" s="21">
        <v>7442.12</v>
      </c>
      <c r="G27" s="21">
        <v>7761.3270000000002</v>
      </c>
      <c r="H27" s="21">
        <v>8080.527</v>
      </c>
      <c r="I27" s="21">
        <v>8399.7340000000004</v>
      </c>
      <c r="J27" s="21">
        <v>8718.9339999999993</v>
      </c>
      <c r="K27" s="21">
        <v>9038.1409999999996</v>
      </c>
      <c r="L27" s="21">
        <v>9357.3409999999985</v>
      </c>
      <c r="M27" s="21">
        <v>9676.5409999999993</v>
      </c>
      <c r="N27" s="21">
        <v>9995.7479999999996</v>
      </c>
      <c r="O27" s="21">
        <v>10314.947999999999</v>
      </c>
      <c r="P27" s="21">
        <v>10634.154999999999</v>
      </c>
      <c r="T27" s="21"/>
      <c r="U27" s="21"/>
      <c r="V27" s="21"/>
      <c r="W27" s="21"/>
      <c r="X27" s="21"/>
      <c r="Y27" s="21"/>
      <c r="Z27" s="21"/>
      <c r="AA27" s="21"/>
      <c r="AB27" s="21"/>
    </row>
    <row r="28" spans="1:28" ht="16" customHeight="1" x14ac:dyDescent="0.25">
      <c r="A28" s="14" t="str">
        <f ca="1">IF(ISNA(VLOOKUP($B28,KeyAll,COLUMN(Key!$C$4),0))=TRUE,"No key!",VLOOKUP($B28,KeyAll,COLUMN(Key!$C$4),0))</f>
        <v>B-09G</v>
      </c>
      <c r="B28" s="14" t="s">
        <v>159</v>
      </c>
      <c r="C28" s="1" t="str">
        <f ca="1">IF(ISNA(VLOOKUP($B28,KeyAll,COLUMN(Key!$B$4),0))=TRUE,"No key!",VLOOKUP($B28,KeyAll,COLUMN(Key!$B$4),0))</f>
        <v>Prepayments</v>
      </c>
      <c r="D28" s="21">
        <v>2663.7799999999997</v>
      </c>
      <c r="E28" s="21">
        <v>2663.7799999999997</v>
      </c>
      <c r="F28" s="21">
        <v>2800.1749999999997</v>
      </c>
      <c r="G28" s="21">
        <v>2936.57</v>
      </c>
      <c r="H28" s="21">
        <v>3072.9719999999998</v>
      </c>
      <c r="I28" s="21">
        <v>3209.3670000000002</v>
      </c>
      <c r="J28" s="21">
        <v>3345.7619999999997</v>
      </c>
      <c r="K28" s="21">
        <v>3482.1570000000002</v>
      </c>
      <c r="L28" s="21">
        <v>3618.5519999999997</v>
      </c>
      <c r="M28" s="21">
        <v>3754.9539999999997</v>
      </c>
      <c r="N28" s="21">
        <v>3891.3489999999997</v>
      </c>
      <c r="O28" s="21">
        <v>4027.7439999999997</v>
      </c>
      <c r="P28" s="21">
        <v>4164.1390000000001</v>
      </c>
      <c r="T28" s="21"/>
      <c r="U28" s="21"/>
      <c r="V28" s="21"/>
      <c r="W28" s="21"/>
      <c r="X28" s="21"/>
      <c r="Y28" s="21"/>
      <c r="Z28" s="21"/>
      <c r="AA28" s="21"/>
      <c r="AB28" s="21"/>
    </row>
    <row r="29" spans="1:28" ht="16" customHeight="1" x14ac:dyDescent="0.25">
      <c r="A29" s="14" t="str">
        <f ca="1">IF(ISNA(VLOOKUP($B29,KeyAll,COLUMN(Key!$C$4),0))=TRUE,"No key!",VLOOKUP($B29,KeyAll,COLUMN(Key!$C$4),0))</f>
        <v>B-13G</v>
      </c>
      <c r="B29" s="14" t="s">
        <v>164</v>
      </c>
      <c r="C29" s="1" t="str">
        <f ca="1">IF(ISNA(VLOOKUP($B29,KeyAll,COLUMN(Key!$B$4),0))=TRUE,"No key!",VLOOKUP($B29,KeyAll,COLUMN(Key!$B$4),0))</f>
        <v>Accruals</v>
      </c>
      <c r="D29" s="21">
        <v>11153.946999999998</v>
      </c>
      <c r="E29" s="21">
        <v>11153.946999999998</v>
      </c>
      <c r="F29" s="21">
        <v>11414.038999999999</v>
      </c>
      <c r="G29" s="21">
        <v>11674.131000000001</v>
      </c>
      <c r="H29" s="21">
        <v>11934.222999999998</v>
      </c>
      <c r="I29" s="21">
        <v>12194.315000000001</v>
      </c>
      <c r="J29" s="21">
        <v>12454.406999999997</v>
      </c>
      <c r="K29" s="21">
        <v>12714.499</v>
      </c>
      <c r="L29" s="21">
        <v>12974.591</v>
      </c>
      <c r="M29" s="21">
        <v>13234.682999999999</v>
      </c>
      <c r="N29" s="21">
        <v>13494.775</v>
      </c>
      <c r="O29" s="21">
        <v>13754.874</v>
      </c>
      <c r="P29" s="21">
        <v>14014.966</v>
      </c>
      <c r="T29" s="21"/>
      <c r="U29" s="21"/>
      <c r="V29" s="21"/>
      <c r="W29" s="21"/>
      <c r="X29" s="21"/>
      <c r="Y29" s="21"/>
      <c r="Z29" s="21"/>
      <c r="AA29" s="21"/>
      <c r="AB29" s="21"/>
    </row>
    <row r="30" spans="1:28" ht="16" customHeight="1" x14ac:dyDescent="0.25">
      <c r="A30" s="14" t="str">
        <f ca="1">IF(ISNA(VLOOKUP($B30,KeyAll,COLUMN(Key!$C$4),0))=TRUE,"No key!",VLOOKUP($B30,KeyAll,COLUMN(Key!$C$4),0))</f>
        <v>B-13G</v>
      </c>
      <c r="B30" s="14" t="s">
        <v>166</v>
      </c>
      <c r="C30" s="1" t="str">
        <f ca="1">IF(ISNA(VLOOKUP($B30,KeyAll,COLUMN(Key!$B$4),0))=TRUE,"No key!",VLOOKUP($B30,KeyAll,COLUMN(Key!$B$4),0))</f>
        <v>Payroll Accruals</v>
      </c>
      <c r="D30" s="21">
        <v>17074.182999999997</v>
      </c>
      <c r="E30" s="21">
        <v>17074.182999999997</v>
      </c>
      <c r="F30" s="21">
        <v>17925.858999999997</v>
      </c>
      <c r="G30" s="21">
        <v>18777.542000000001</v>
      </c>
      <c r="H30" s="21">
        <v>19629.218000000001</v>
      </c>
      <c r="I30" s="21">
        <v>20480.893999999997</v>
      </c>
      <c r="J30" s="21">
        <v>21332.569999999996</v>
      </c>
      <c r="K30" s="21">
        <v>22184.245999999999</v>
      </c>
      <c r="L30" s="21">
        <v>23035.921999999999</v>
      </c>
      <c r="M30" s="21">
        <v>23887.597999999998</v>
      </c>
      <c r="N30" s="21">
        <v>24739.280999999999</v>
      </c>
      <c r="O30" s="21">
        <v>25590.956999999999</v>
      </c>
      <c r="P30" s="21">
        <v>26442.633000000002</v>
      </c>
      <c r="T30" s="21"/>
      <c r="U30" s="21"/>
      <c r="V30" s="21"/>
      <c r="W30" s="21"/>
      <c r="X30" s="21"/>
      <c r="Y30" s="21"/>
      <c r="Z30" s="21"/>
      <c r="AA30" s="21"/>
      <c r="AB30" s="21"/>
    </row>
    <row r="31" spans="1:28" ht="16" customHeight="1" x14ac:dyDescent="0.25">
      <c r="A31" s="14" t="str">
        <f ca="1">IF(ISNA(VLOOKUP($B31,KeyAll,COLUMN(Key!$C$4),0))=TRUE,"No key!",VLOOKUP($B31,KeyAll,COLUMN(Key!$C$4),0))</f>
        <v>B-13G</v>
      </c>
      <c r="B31" s="14" t="s">
        <v>168</v>
      </c>
      <c r="C31" s="1" t="str">
        <f ca="1">IF(ISNA(VLOOKUP($B31,KeyAll,COLUMN(Key!$B$4),0))=TRUE,"No key!",VLOOKUP($B31,KeyAll,COLUMN(Key!$B$4),0))</f>
        <v>Interest Payable</v>
      </c>
      <c r="D31" s="21">
        <v>6618.8429999999998</v>
      </c>
      <c r="E31" s="21">
        <v>6618.8429999999998</v>
      </c>
      <c r="F31" s="21">
        <v>7106.5819999999994</v>
      </c>
      <c r="G31" s="21">
        <v>7594.3209999999999</v>
      </c>
      <c r="H31" s="21">
        <v>8082.0669999999991</v>
      </c>
      <c r="I31" s="21">
        <v>8569.8059999999987</v>
      </c>
      <c r="J31" s="21">
        <v>9057.5450000000001</v>
      </c>
      <c r="K31" s="21">
        <v>9545.2839999999997</v>
      </c>
      <c r="L31" s="21">
        <v>10033.022999999999</v>
      </c>
      <c r="M31" s="21">
        <v>10520.761999999999</v>
      </c>
      <c r="N31" s="21">
        <v>11008.508</v>
      </c>
      <c r="O31" s="21">
        <v>11496.246999999999</v>
      </c>
      <c r="P31" s="21">
        <v>11983.985999999999</v>
      </c>
      <c r="T31" s="21"/>
      <c r="U31" s="21"/>
      <c r="V31" s="21"/>
      <c r="W31" s="21"/>
      <c r="X31" s="21"/>
      <c r="Y31" s="21"/>
      <c r="Z31" s="21"/>
      <c r="AA31" s="21"/>
      <c r="AB31" s="21"/>
    </row>
    <row r="32" spans="1:28" ht="16" customHeight="1" x14ac:dyDescent="0.25">
      <c r="A32" s="14" t="str">
        <f ca="1">IF(ISNA(VLOOKUP($B32,KeyAll,COLUMN(Key!$C$4),0))=TRUE,"No key!",VLOOKUP($B32,KeyAll,COLUMN(Key!$C$4),0))</f>
        <v>B-14G</v>
      </c>
      <c r="B32" s="14" t="s">
        <v>169</v>
      </c>
      <c r="C32" s="1" t="str">
        <f ca="1">IF(ISNA(VLOOKUP($B32,KeyAll,COLUMN(Key!$B$4),0))=TRUE,"No key!",VLOOKUP($B32,KeyAll,COLUMN(Key!$B$4),0))</f>
        <v>Dividends Payable</v>
      </c>
      <c r="D32" s="21">
        <v>4466.7699999999995</v>
      </c>
      <c r="E32" s="21">
        <v>4466.7699999999995</v>
      </c>
      <c r="F32" s="21">
        <v>4803.1759999999995</v>
      </c>
      <c r="G32" s="21">
        <v>5139.5749999999998</v>
      </c>
      <c r="H32" s="21">
        <v>5475.9809999999998</v>
      </c>
      <c r="I32" s="21">
        <v>5812.3799999999992</v>
      </c>
      <c r="J32" s="21">
        <v>6148.7859999999991</v>
      </c>
      <c r="K32" s="21">
        <v>6485.1919999999991</v>
      </c>
      <c r="L32" s="21">
        <v>6821.5909999999994</v>
      </c>
      <c r="M32" s="21">
        <v>7157.9969999999994</v>
      </c>
      <c r="N32" s="21">
        <v>7494.4030000000002</v>
      </c>
      <c r="O32" s="21">
        <v>7830.8019999999997</v>
      </c>
      <c r="P32" s="21">
        <v>8167.2079999999996</v>
      </c>
      <c r="T32" s="21"/>
      <c r="U32" s="21"/>
      <c r="V32" s="21"/>
      <c r="W32" s="21"/>
      <c r="X32" s="21"/>
      <c r="Y32" s="21"/>
      <c r="Z32" s="21"/>
      <c r="AA32" s="21"/>
      <c r="AB32" s="21"/>
    </row>
    <row r="33" spans="1:28" ht="16" customHeight="1" x14ac:dyDescent="0.25">
      <c r="A33" s="14" t="str">
        <f ca="1">IF(ISNA(VLOOKUP($B33,KeyAll,COLUMN(Key!$C$4),0))=TRUE,"No key!",VLOOKUP($B33,KeyAll,COLUMN(Key!$C$4),0))</f>
        <v>B-15G</v>
      </c>
      <c r="B33" s="14" t="s">
        <v>171</v>
      </c>
      <c r="C33" s="1" t="str">
        <f ca="1">IF(ISNA(VLOOKUP($B33,KeyAll,COLUMN(Key!$B$4),0))=TRUE,"No key!",VLOOKUP($B33,KeyAll,COLUMN(Key!$B$4),0))</f>
        <v>Provision For Taxation</v>
      </c>
      <c r="D33" s="21">
        <v>4738.8949999999995</v>
      </c>
      <c r="E33" s="21">
        <v>4738.8949999999995</v>
      </c>
      <c r="F33" s="21">
        <v>4851.7699999999995</v>
      </c>
      <c r="G33" s="21">
        <v>4964.6519999999991</v>
      </c>
      <c r="H33" s="21">
        <v>5077.5269999999991</v>
      </c>
      <c r="I33" s="21">
        <v>5190.4019999999991</v>
      </c>
      <c r="J33" s="21">
        <v>5303.2769999999991</v>
      </c>
      <c r="K33" s="21">
        <v>5416.1589999999997</v>
      </c>
      <c r="L33" s="21">
        <v>5529.0339999999997</v>
      </c>
      <c r="M33" s="21">
        <v>5641.9089999999997</v>
      </c>
      <c r="N33" s="21">
        <v>5754.7840000000006</v>
      </c>
      <c r="O33" s="21">
        <v>5867.6659999999993</v>
      </c>
      <c r="P33" s="21">
        <v>5980.5409999999993</v>
      </c>
      <c r="T33" s="21"/>
      <c r="U33" s="21"/>
      <c r="V33" s="21"/>
      <c r="W33" s="21"/>
      <c r="X33" s="21"/>
      <c r="Y33" s="21"/>
      <c r="Z33" s="21"/>
      <c r="AA33" s="21"/>
      <c r="AB33" s="21"/>
    </row>
    <row r="34" spans="1:28" ht="16" customHeight="1" x14ac:dyDescent="0.25">
      <c r="A34" s="14" t="str">
        <f ca="1">IF(ISNA(VLOOKUP($B34,KeyAll,COLUMN(Key!$C$4),0))=TRUE,"No key!",VLOOKUP($B34,KeyAll,COLUMN(Key!$C$4),0))</f>
        <v>B-16G</v>
      </c>
      <c r="B34" s="14" t="s">
        <v>174</v>
      </c>
      <c r="C34" s="1" t="str">
        <f ca="1">IF(ISNA(VLOOKUP($B34,KeyAll,COLUMN(Key!$B$4),0))=TRUE,"No key!",VLOOKUP($B34,KeyAll,COLUMN(Key!$B$4),0))</f>
        <v>Provision For Bonuses</v>
      </c>
      <c r="D34" s="21">
        <v>4133.1849999999995</v>
      </c>
      <c r="E34" s="21">
        <v>4133.1849999999995</v>
      </c>
      <c r="F34" s="21">
        <v>4255.692</v>
      </c>
      <c r="G34" s="21">
        <v>4378.1989999999996</v>
      </c>
      <c r="H34" s="21">
        <v>4500.7059999999992</v>
      </c>
      <c r="I34" s="21">
        <v>4623.2129999999997</v>
      </c>
      <c r="J34" s="21">
        <v>4745.72</v>
      </c>
      <c r="K34" s="21">
        <v>4868.2269999999999</v>
      </c>
      <c r="L34" s="21">
        <v>4990.7339999999995</v>
      </c>
      <c r="M34" s="21">
        <v>5113.241</v>
      </c>
      <c r="N34" s="21">
        <v>5235.7479999999996</v>
      </c>
      <c r="O34" s="21">
        <v>5358.2549999999992</v>
      </c>
      <c r="P34" s="21">
        <v>5480.7619999999997</v>
      </c>
      <c r="T34" s="21"/>
      <c r="U34" s="21"/>
      <c r="V34" s="21"/>
      <c r="W34" s="21"/>
      <c r="X34" s="21"/>
      <c r="Y34" s="21"/>
      <c r="Z34" s="21"/>
      <c r="AA34" s="21"/>
      <c r="AB34" s="21"/>
    </row>
    <row r="35" spans="1:28" ht="16" customHeight="1" x14ac:dyDescent="0.25">
      <c r="A35" s="14" t="str">
        <f ca="1">IF(ISNA(VLOOKUP($B35,KeyAll,COLUMN(Key!$C$4),0))=TRUE,"No key!",VLOOKUP($B35,KeyAll,COLUMN(Key!$C$4),0))</f>
        <v>B-17G</v>
      </c>
      <c r="B35" s="14" t="s">
        <v>176</v>
      </c>
      <c r="C35" s="1" t="str">
        <f ca="1">IF(ISNA(VLOOKUP($B35,KeyAll,COLUMN(Key!$B$4),0))=TRUE,"No key!",VLOOKUP($B35,KeyAll,COLUMN(Key!$B$4),0))</f>
        <v>Sales Tax Control</v>
      </c>
      <c r="D35" s="21">
        <v>24882.962999999996</v>
      </c>
      <c r="E35" s="21">
        <v>24882.962999999996</v>
      </c>
      <c r="F35" s="21">
        <v>26102.089999999997</v>
      </c>
      <c r="G35" s="21">
        <v>27321.216999999997</v>
      </c>
      <c r="H35" s="21">
        <v>28540.343999999997</v>
      </c>
      <c r="I35" s="21">
        <v>29759.470999999998</v>
      </c>
      <c r="J35" s="21">
        <v>30978.597999999998</v>
      </c>
      <c r="K35" s="21">
        <v>32197.724999999999</v>
      </c>
      <c r="L35" s="21">
        <v>33416.851999999999</v>
      </c>
      <c r="M35" s="21">
        <v>34635.978999999999</v>
      </c>
      <c r="N35" s="21">
        <v>35855.106</v>
      </c>
      <c r="O35" s="21">
        <v>37074.233</v>
      </c>
      <c r="P35" s="21">
        <v>38293.360000000001</v>
      </c>
      <c r="T35" s="21"/>
      <c r="U35" s="21"/>
      <c r="V35" s="21"/>
      <c r="W35" s="21"/>
      <c r="X35" s="21"/>
      <c r="Y35" s="21"/>
      <c r="Z35" s="21"/>
      <c r="AA35" s="21"/>
      <c r="AB35" s="21"/>
    </row>
    <row r="36" spans="1:28" ht="16" customHeight="1" x14ac:dyDescent="0.25">
      <c r="A36" s="14" t="str">
        <f ca="1">IF(ISNA(VLOOKUP($B36,KeyAll,COLUMN(Key!$C$4),0))=TRUE,"No key!",VLOOKUP($B36,KeyAll,COLUMN(Key!$C$4),0))</f>
        <v>B-18G</v>
      </c>
      <c r="B36" s="14" t="s">
        <v>178</v>
      </c>
      <c r="C36" s="1" t="str">
        <f ca="1">IF(ISNA(VLOOKUP($B36,KeyAll,COLUMN(Key!$B$4),0))=TRUE,"No key!",VLOOKUP($B36,KeyAll,COLUMN(Key!$B$4),0))</f>
        <v>Long Term Loans</v>
      </c>
      <c r="D36" s="21">
        <v>15102.324999999999</v>
      </c>
      <c r="E36" s="21">
        <v>15102.324999999999</v>
      </c>
      <c r="F36" s="21">
        <v>15571.310999999998</v>
      </c>
      <c r="G36" s="21">
        <v>16040.296999999999</v>
      </c>
      <c r="H36" s="21">
        <v>16509.282999999999</v>
      </c>
      <c r="I36" s="21">
        <v>16978.268999999997</v>
      </c>
      <c r="J36" s="21">
        <v>17447.255000000001</v>
      </c>
      <c r="K36" s="21">
        <v>17916.240999999998</v>
      </c>
      <c r="L36" s="21">
        <v>18385.226999999999</v>
      </c>
      <c r="M36" s="21">
        <v>18854.213</v>
      </c>
      <c r="N36" s="21">
        <v>19323.198999999997</v>
      </c>
      <c r="O36" s="21">
        <v>19792.184999999998</v>
      </c>
      <c r="P36" s="21">
        <v>20261.170999999998</v>
      </c>
      <c r="T36" s="21"/>
      <c r="U36" s="21"/>
      <c r="V36" s="21"/>
      <c r="W36" s="21"/>
      <c r="X36" s="21"/>
      <c r="Y36" s="21"/>
      <c r="Z36" s="21"/>
      <c r="AA36" s="21"/>
      <c r="AB36" s="21"/>
    </row>
    <row r="37" spans="1:28" ht="16" customHeight="1" x14ac:dyDescent="0.25">
      <c r="A37" s="14" t="str">
        <f ca="1">IF(ISNA(VLOOKUP($B37,KeyAll,COLUMN(Key!$C$4),0))=TRUE,"No key!",VLOOKUP($B37,KeyAll,COLUMN(Key!$C$4),0))</f>
        <v>B-19G</v>
      </c>
      <c r="B37" s="14" t="s">
        <v>180</v>
      </c>
      <c r="C37" s="1" t="str">
        <f ca="1">IF(ISNA(VLOOKUP($B37,KeyAll,COLUMN(Key!$B$4),0))=TRUE,"No key!",VLOOKUP($B37,KeyAll,COLUMN(Key!$B$4),0))</f>
        <v>Reserves</v>
      </c>
      <c r="D37" s="21">
        <v>2469.8869999999997</v>
      </c>
      <c r="E37" s="21">
        <v>2469.8869999999997</v>
      </c>
      <c r="F37" s="21">
        <v>2599.7089999999998</v>
      </c>
      <c r="G37" s="21">
        <v>2729.5309999999999</v>
      </c>
      <c r="H37" s="21">
        <v>2859.3529999999996</v>
      </c>
      <c r="I37" s="21">
        <v>2989.1749999999997</v>
      </c>
      <c r="J37" s="21">
        <v>3118.9969999999998</v>
      </c>
      <c r="K37" s="21">
        <v>3248.819</v>
      </c>
      <c r="L37" s="21">
        <v>3378.6410000000001</v>
      </c>
      <c r="M37" s="21">
        <v>3508.4629999999997</v>
      </c>
      <c r="N37" s="21">
        <v>3638.2849999999999</v>
      </c>
      <c r="O37" s="21">
        <v>3768.107</v>
      </c>
      <c r="P37" s="21">
        <v>3897.9219999999996</v>
      </c>
      <c r="T37" s="21"/>
      <c r="U37" s="21"/>
      <c r="V37" s="21"/>
      <c r="W37" s="21"/>
      <c r="X37" s="21"/>
      <c r="Y37" s="21"/>
      <c r="Z37" s="21"/>
      <c r="AA37" s="21"/>
      <c r="AB37" s="21"/>
    </row>
    <row r="38" spans="1:28" ht="16" customHeight="1" x14ac:dyDescent="0.25">
      <c r="A38" s="14" t="str">
        <f ca="1">IF(ISNA(VLOOKUP($B38,KeyAll,COLUMN(Key!$C$4),0))=TRUE,"No key!",VLOOKUP($B38,KeyAll,COLUMN(Key!$C$4),0))</f>
        <v>B-20G</v>
      </c>
      <c r="B38" s="14" t="s">
        <v>181</v>
      </c>
      <c r="C38" s="1" t="str">
        <f ca="1">IF(ISNA(VLOOKUP($B38,KeyAll,COLUMN(Key!$B$4),0))=TRUE,"No key!",VLOOKUP($B38,KeyAll,COLUMN(Key!$B$4),0))</f>
        <v>Shareholders' Contributions</v>
      </c>
      <c r="D38" s="21">
        <v>1587.8240000000001</v>
      </c>
      <c r="E38" s="21">
        <v>1587.8240000000001</v>
      </c>
      <c r="F38" s="21">
        <v>1696.002</v>
      </c>
      <c r="G38" s="21">
        <v>1804.1869999999997</v>
      </c>
      <c r="H38" s="21">
        <v>1912.3649999999998</v>
      </c>
      <c r="I38" s="21">
        <v>2020.55</v>
      </c>
      <c r="J38" s="21">
        <v>2128.7280000000001</v>
      </c>
      <c r="K38" s="21">
        <v>2236.913</v>
      </c>
      <c r="L38" s="21">
        <v>2345.0909999999999</v>
      </c>
      <c r="M38" s="21">
        <v>2453.2759999999998</v>
      </c>
      <c r="N38" s="21">
        <v>2561.4539999999997</v>
      </c>
      <c r="O38" s="21">
        <v>2669.6320000000001</v>
      </c>
      <c r="P38" s="21">
        <v>2777.817</v>
      </c>
      <c r="T38" s="21"/>
      <c r="U38" s="21"/>
      <c r="V38" s="21"/>
      <c r="W38" s="21"/>
      <c r="X38" s="21"/>
      <c r="Y38" s="21"/>
      <c r="Z38" s="21"/>
      <c r="AA38" s="21"/>
      <c r="AB38" s="21"/>
    </row>
    <row r="39" spans="1:28" ht="16" customHeight="1" x14ac:dyDescent="0.25">
      <c r="A39" s="14" t="str">
        <f ca="1">IF(ISNA(VLOOKUP($B39,KeyAll,COLUMN(Key!$C$4),0))=TRUE,"No key!",VLOOKUP($B39,KeyAll,COLUMN(Key!$C$4),0))</f>
        <v>I-01G</v>
      </c>
      <c r="B39" s="14" t="s">
        <v>184</v>
      </c>
      <c r="C39" s="1" t="str">
        <f ca="1">IF(ISNA(VLOOKUP($B39,KeyAll,COLUMN(Key!$B$4),0))=TRUE,"No key!",VLOOKUP($B39,KeyAll,COLUMN(Key!$B$4),0))</f>
        <v>Sales - Fruit Juice</v>
      </c>
      <c r="D39" s="21">
        <v>16087.420999999998</v>
      </c>
      <c r="E39" s="21">
        <v>16087.420999999998</v>
      </c>
      <c r="F39" s="21">
        <v>17681.391</v>
      </c>
      <c r="G39" s="21">
        <v>19275.367999999999</v>
      </c>
      <c r="H39" s="21">
        <v>20869.344999999998</v>
      </c>
      <c r="I39" s="21">
        <v>22463.314999999999</v>
      </c>
      <c r="J39" s="21">
        <v>24057.291999999998</v>
      </c>
      <c r="K39" s="21">
        <v>25651.268999999997</v>
      </c>
      <c r="L39" s="21">
        <v>27245.245999999999</v>
      </c>
      <c r="M39" s="21">
        <v>28839.215999999997</v>
      </c>
      <c r="N39" s="21">
        <v>30433.192999999996</v>
      </c>
      <c r="O39" s="21">
        <v>32027.17</v>
      </c>
      <c r="P39" s="21">
        <v>33621.14</v>
      </c>
      <c r="T39" s="21"/>
      <c r="U39" s="21"/>
      <c r="V39" s="21"/>
      <c r="W39" s="21"/>
      <c r="X39" s="21"/>
      <c r="Y39" s="21"/>
      <c r="Z39" s="21"/>
      <c r="AA39" s="21"/>
      <c r="AB39" s="21"/>
    </row>
    <row r="40" spans="1:28" ht="16" customHeight="1" x14ac:dyDescent="0.25">
      <c r="A40" s="14" t="str">
        <f ca="1">IF(ISNA(VLOOKUP($B40,KeyAll,COLUMN(Key!$C$4),0))=TRUE,"No key!",VLOOKUP($B40,KeyAll,COLUMN(Key!$C$4),0))</f>
        <v>I-01G</v>
      </c>
      <c r="B40" s="14" t="s">
        <v>186</v>
      </c>
      <c r="C40" s="1" t="str">
        <f ca="1">IF(ISNA(VLOOKUP($B40,KeyAll,COLUMN(Key!$B$4),0))=TRUE,"No key!",VLOOKUP($B40,KeyAll,COLUMN(Key!$B$4),0))</f>
        <v>Sales - Vegetable Juice</v>
      </c>
      <c r="D40" s="21">
        <v>35622.852999999996</v>
      </c>
      <c r="E40" s="21">
        <v>35622.852999999996</v>
      </c>
      <c r="F40" s="21">
        <v>37187.059000000001</v>
      </c>
      <c r="G40" s="21">
        <v>38751.258000000002</v>
      </c>
      <c r="H40" s="21">
        <v>40315.463999999993</v>
      </c>
      <c r="I40" s="21">
        <v>41879.662999999993</v>
      </c>
      <c r="J40" s="21">
        <v>43443.868999999999</v>
      </c>
      <c r="K40" s="21">
        <v>45008.067999999999</v>
      </c>
      <c r="L40" s="21">
        <v>46572.274000000005</v>
      </c>
      <c r="M40" s="21">
        <v>48136.479999999996</v>
      </c>
      <c r="N40" s="21">
        <v>49700.678999999996</v>
      </c>
      <c r="O40" s="21">
        <v>51264.885000000002</v>
      </c>
      <c r="P40" s="21">
        <v>52829.083999999995</v>
      </c>
      <c r="T40" s="21"/>
      <c r="U40" s="21"/>
      <c r="V40" s="21"/>
      <c r="W40" s="21"/>
      <c r="X40" s="21"/>
      <c r="Y40" s="21"/>
      <c r="Z40" s="21"/>
      <c r="AA40" s="21"/>
      <c r="AB40" s="21"/>
    </row>
    <row r="41" spans="1:28" ht="16" customHeight="1" x14ac:dyDescent="0.25">
      <c r="A41" s="14" t="str">
        <f ca="1">IF(ISNA(VLOOKUP($B41,KeyAll,COLUMN(Key!$C$4),0))=TRUE,"No key!",VLOOKUP($B41,KeyAll,COLUMN(Key!$C$4),0))</f>
        <v>I-02G</v>
      </c>
      <c r="B41" s="14" t="s">
        <v>188</v>
      </c>
      <c r="C41" s="1" t="str">
        <f ca="1">IF(ISNA(VLOOKUP($B41,KeyAll,COLUMN(Key!$B$4),0))=TRUE,"No key!",VLOOKUP($B41,KeyAll,COLUMN(Key!$B$4),0))</f>
        <v>Cost of Sales - Fruit Juice</v>
      </c>
      <c r="D41" s="21">
        <v>14154.616</v>
      </c>
      <c r="E41" s="21">
        <v>14154.616</v>
      </c>
      <c r="F41" s="21">
        <v>15387.239</v>
      </c>
      <c r="G41" s="21">
        <v>16619.855</v>
      </c>
      <c r="H41" s="21">
        <v>17852.470999999998</v>
      </c>
      <c r="I41" s="21">
        <v>19085.087</v>
      </c>
      <c r="J41" s="21">
        <v>20317.702999999998</v>
      </c>
      <c r="K41" s="21">
        <v>21550.318999999996</v>
      </c>
      <c r="L41" s="21">
        <v>22782.934999999998</v>
      </c>
      <c r="M41" s="21">
        <v>24015.550999999999</v>
      </c>
      <c r="N41" s="21">
        <v>25248.173999999999</v>
      </c>
      <c r="O41" s="21">
        <v>26480.789999999997</v>
      </c>
      <c r="P41" s="21">
        <v>27713.405999999999</v>
      </c>
      <c r="T41" s="21"/>
      <c r="U41" s="21"/>
      <c r="V41" s="21"/>
      <c r="W41" s="21"/>
      <c r="X41" s="21"/>
      <c r="Y41" s="21"/>
      <c r="Z41" s="21"/>
      <c r="AA41" s="21"/>
      <c r="AB41" s="21"/>
    </row>
    <row r="42" spans="1:28" ht="16" customHeight="1" x14ac:dyDescent="0.25">
      <c r="A42" s="14" t="str">
        <f ca="1">IF(ISNA(VLOOKUP($B42,KeyAll,COLUMN(Key!$C$4),0))=TRUE,"No key!",VLOOKUP($B42,KeyAll,COLUMN(Key!$C$4),0))</f>
        <v>I-02G</v>
      </c>
      <c r="B42" s="14" t="s">
        <v>190</v>
      </c>
      <c r="C42" s="1" t="str">
        <f ca="1">IF(ISNA(VLOOKUP($B42,KeyAll,COLUMN(Key!$B$4),0))=TRUE,"No key!",VLOOKUP($B42,KeyAll,COLUMN(Key!$B$4),0))</f>
        <v>Cost of Sales - Vegetable Juice</v>
      </c>
      <c r="D42" s="21">
        <v>33792.002999999997</v>
      </c>
      <c r="E42" s="21">
        <v>33792.002999999997</v>
      </c>
      <c r="F42" s="21">
        <v>36530.186000000002</v>
      </c>
      <c r="G42" s="21">
        <v>39268.368999999999</v>
      </c>
      <c r="H42" s="21">
        <v>42006.551999999996</v>
      </c>
      <c r="I42" s="21">
        <v>44744.735000000001</v>
      </c>
      <c r="J42" s="21">
        <v>47482.917999999998</v>
      </c>
      <c r="K42" s="21">
        <v>50221.108</v>
      </c>
      <c r="L42" s="21">
        <v>52959.290999999997</v>
      </c>
      <c r="M42" s="21">
        <v>55697.474000000002</v>
      </c>
      <c r="N42" s="21">
        <v>58435.656999999992</v>
      </c>
      <c r="O42" s="21">
        <v>61173.84</v>
      </c>
      <c r="P42" s="21">
        <v>63912.022999999994</v>
      </c>
      <c r="T42" s="21"/>
      <c r="U42" s="21"/>
      <c r="V42" s="21"/>
      <c r="W42" s="21"/>
      <c r="X42" s="21"/>
      <c r="Y42" s="21"/>
      <c r="Z42" s="21"/>
      <c r="AA42" s="21"/>
      <c r="AB42" s="21"/>
    </row>
    <row r="43" spans="1:28" ht="16" customHeight="1" x14ac:dyDescent="0.25">
      <c r="A43" s="14" t="str">
        <f ca="1">IF(ISNA(VLOOKUP($B43,KeyAll,COLUMN(Key!$C$4),0))=TRUE,"No key!",VLOOKUP($B43,KeyAll,COLUMN(Key!$C$4),0))</f>
        <v>I-02G</v>
      </c>
      <c r="B43" s="14" t="s">
        <v>192</v>
      </c>
      <c r="C43" s="1" t="str">
        <f ca="1">IF(ISNA(VLOOKUP($B43,KeyAll,COLUMN(Key!$B$4),0))=TRUE,"No key!",VLOOKUP($B43,KeyAll,COLUMN(Key!$B$4),0))</f>
        <v>Cost of Sales - Direct Costs</v>
      </c>
      <c r="D43" s="21">
        <v>35595.566999999995</v>
      </c>
      <c r="E43" s="21">
        <v>35595.566999999995</v>
      </c>
      <c r="F43" s="21">
        <v>36847.93</v>
      </c>
      <c r="G43" s="21">
        <v>38100.299999999996</v>
      </c>
      <c r="H43" s="21">
        <v>39352.662999999993</v>
      </c>
      <c r="I43" s="21">
        <v>40605.025999999998</v>
      </c>
      <c r="J43" s="21">
        <v>41857.388999999996</v>
      </c>
      <c r="K43" s="21">
        <v>43109.752</v>
      </c>
      <c r="L43" s="21">
        <v>44362.114999999998</v>
      </c>
      <c r="M43" s="21">
        <v>45614.477999999996</v>
      </c>
      <c r="N43" s="21">
        <v>46866.841</v>
      </c>
      <c r="O43" s="21">
        <v>48119.203999999998</v>
      </c>
      <c r="P43" s="21">
        <v>49371.566999999995</v>
      </c>
      <c r="T43" s="21"/>
      <c r="U43" s="21"/>
      <c r="V43" s="21"/>
      <c r="W43" s="21"/>
      <c r="X43" s="21"/>
      <c r="Y43" s="21"/>
      <c r="Z43" s="21"/>
      <c r="AA43" s="21"/>
      <c r="AB43" s="21"/>
    </row>
    <row r="44" spans="1:28" ht="16" customHeight="1" x14ac:dyDescent="0.25">
      <c r="A44" s="14" t="str">
        <f ca="1">IF(ISNA(VLOOKUP($B44,KeyAll,COLUMN(Key!$C$4),0))=TRUE,"No key!",VLOOKUP($B44,KeyAll,COLUMN(Key!$C$4),0))</f>
        <v>I-0301G</v>
      </c>
      <c r="B44" s="14" t="s">
        <v>205</v>
      </c>
      <c r="C44" s="1" t="str">
        <f ca="1">IF(ISNA(VLOOKUP($B44,KeyAll,COLUMN(Key!$B$4),0))=TRUE,"No key!",VLOOKUP($B44,KeyAll,COLUMN(Key!$B$4),0))</f>
        <v>Accounting Fees</v>
      </c>
      <c r="D44" s="21">
        <v>2958.3329999999996</v>
      </c>
      <c r="E44" s="21">
        <v>2958.3329999999996</v>
      </c>
      <c r="F44" s="21">
        <v>3038.07</v>
      </c>
      <c r="G44" s="21">
        <v>3117.7999999999997</v>
      </c>
      <c r="H44" s="21">
        <v>3197.5369999999998</v>
      </c>
      <c r="I44" s="21">
        <v>3277.2670000000003</v>
      </c>
      <c r="J44" s="21">
        <v>3357.0039999999999</v>
      </c>
      <c r="K44" s="21">
        <v>3436.7339999999999</v>
      </c>
      <c r="L44" s="21">
        <v>3516.4709999999995</v>
      </c>
      <c r="M44" s="21">
        <v>3596.201</v>
      </c>
      <c r="N44" s="21">
        <v>3675.9379999999996</v>
      </c>
      <c r="O44" s="21">
        <v>3755.6679999999997</v>
      </c>
      <c r="P44" s="21">
        <v>3835.4049999999993</v>
      </c>
      <c r="T44" s="21"/>
      <c r="U44" s="21"/>
      <c r="V44" s="21"/>
      <c r="W44" s="21"/>
      <c r="X44" s="21"/>
      <c r="Y44" s="21"/>
      <c r="Z44" s="21"/>
      <c r="AA44" s="21"/>
      <c r="AB44" s="21"/>
    </row>
    <row r="45" spans="1:28" ht="16" customHeight="1" x14ac:dyDescent="0.25">
      <c r="A45" s="14" t="str">
        <f ca="1">IF(ISNA(VLOOKUP($B45,KeyAll,COLUMN(Key!$C$4),0))=TRUE,"No key!",VLOOKUP($B45,KeyAll,COLUMN(Key!$C$4),0))</f>
        <v>I-0302G</v>
      </c>
      <c r="B45" s="14" t="s">
        <v>206</v>
      </c>
      <c r="C45" s="1" t="str">
        <f ca="1">IF(ISNA(VLOOKUP($B45,KeyAll,COLUMN(Key!$B$4),0))=TRUE,"No key!",VLOOKUP($B45,KeyAll,COLUMN(Key!$B$4),0))</f>
        <v>Advertising &amp; Marketing</v>
      </c>
      <c r="D45" s="21">
        <v>6137.5509999999995</v>
      </c>
      <c r="E45" s="21">
        <v>6137.5509999999995</v>
      </c>
      <c r="F45" s="21">
        <v>6489.8329999999996</v>
      </c>
      <c r="G45" s="21">
        <v>6842.1149999999998</v>
      </c>
      <c r="H45" s="21">
        <v>7194.396999999999</v>
      </c>
      <c r="I45" s="21">
        <v>7546.6789999999992</v>
      </c>
      <c r="J45" s="21">
        <v>7898.9609999999993</v>
      </c>
      <c r="K45" s="21">
        <v>8251.25</v>
      </c>
      <c r="L45" s="21">
        <v>8603.5319999999992</v>
      </c>
      <c r="M45" s="21">
        <v>8955.8140000000003</v>
      </c>
      <c r="N45" s="21">
        <v>9308.0959999999995</v>
      </c>
      <c r="O45" s="21">
        <v>9660.3780000000006</v>
      </c>
      <c r="P45" s="21">
        <v>10012.659999999998</v>
      </c>
      <c r="T45" s="21"/>
      <c r="U45" s="21"/>
      <c r="V45" s="21"/>
      <c r="W45" s="21"/>
      <c r="X45" s="21"/>
      <c r="Y45" s="21"/>
      <c r="Z45" s="21"/>
      <c r="AA45" s="21"/>
      <c r="AB45" s="21"/>
    </row>
    <row r="46" spans="1:28" ht="16" customHeight="1" x14ac:dyDescent="0.25">
      <c r="A46" s="14" t="str">
        <f ca="1">IF(ISNA(VLOOKUP($B46,KeyAll,COLUMN(Key!$C$4),0))=TRUE,"No key!",VLOOKUP($B46,KeyAll,COLUMN(Key!$C$4),0))</f>
        <v>I-0303G</v>
      </c>
      <c r="B46" s="14" t="s">
        <v>207</v>
      </c>
      <c r="C46" s="1" t="str">
        <f ca="1">IF(ISNA(VLOOKUP($B46,KeyAll,COLUMN(Key!$B$4),0))=TRUE,"No key!",VLOOKUP($B46,KeyAll,COLUMN(Key!$B$4),0))</f>
        <v>Bank Charges</v>
      </c>
      <c r="D46" s="21">
        <v>9290.7150000000001</v>
      </c>
      <c r="E46" s="21">
        <v>9290.7150000000001</v>
      </c>
      <c r="F46" s="21">
        <v>9407.2439999999988</v>
      </c>
      <c r="G46" s="21">
        <v>9523.7729999999992</v>
      </c>
      <c r="H46" s="21">
        <v>9640.2950000000001</v>
      </c>
      <c r="I46" s="21">
        <v>9756.8239999999987</v>
      </c>
      <c r="J46" s="21">
        <v>9873.3529999999992</v>
      </c>
      <c r="K46" s="21">
        <v>9989.8819999999996</v>
      </c>
      <c r="L46" s="21">
        <v>10106.403999999999</v>
      </c>
      <c r="M46" s="21">
        <v>10222.932999999999</v>
      </c>
      <c r="N46" s="21">
        <v>10339.462</v>
      </c>
      <c r="O46" s="21">
        <v>10455.990999999998</v>
      </c>
      <c r="P46" s="21">
        <v>10572.512999999999</v>
      </c>
      <c r="T46" s="21"/>
      <c r="U46" s="21"/>
      <c r="V46" s="21"/>
      <c r="W46" s="21"/>
      <c r="X46" s="21"/>
      <c r="Y46" s="21"/>
      <c r="Z46" s="21"/>
      <c r="AA46" s="21"/>
      <c r="AB46" s="21"/>
    </row>
    <row r="47" spans="1:28" ht="16" customHeight="1" x14ac:dyDescent="0.25">
      <c r="A47" s="14" t="str">
        <f ca="1">IF(ISNA(VLOOKUP($B47,KeyAll,COLUMN(Key!$C$4),0))=TRUE,"No key!",VLOOKUP($B47,KeyAll,COLUMN(Key!$C$4),0))</f>
        <v>I-0304G</v>
      </c>
      <c r="B47" s="14" t="s">
        <v>208</v>
      </c>
      <c r="C47" s="1" t="str">
        <f ca="1">IF(ISNA(VLOOKUP($B47,KeyAll,COLUMN(Key!$B$4),0))=TRUE,"No key!",VLOOKUP($B47,KeyAll,COLUMN(Key!$B$4),0))</f>
        <v>Commission</v>
      </c>
      <c r="D47" s="21">
        <v>2659.1880000000001</v>
      </c>
      <c r="E47" s="21">
        <v>2659.1880000000001</v>
      </c>
      <c r="F47" s="21">
        <v>2764.2579999999998</v>
      </c>
      <c r="G47" s="21">
        <v>2869.3209999999995</v>
      </c>
      <c r="H47" s="21">
        <v>2974.3910000000001</v>
      </c>
      <c r="I47" s="21">
        <v>3079.4540000000002</v>
      </c>
      <c r="J47" s="21">
        <v>3184.5239999999994</v>
      </c>
      <c r="K47" s="21">
        <v>3289.5940000000001</v>
      </c>
      <c r="L47" s="21">
        <v>3394.6570000000002</v>
      </c>
      <c r="M47" s="21">
        <v>3499.7269999999994</v>
      </c>
      <c r="N47" s="21">
        <v>3604.7899999999995</v>
      </c>
      <c r="O47" s="21">
        <v>3709.8599999999997</v>
      </c>
      <c r="P47" s="21">
        <v>3814.9299999999994</v>
      </c>
      <c r="T47" s="21"/>
      <c r="U47" s="21"/>
      <c r="V47" s="21"/>
      <c r="W47" s="21"/>
      <c r="X47" s="21"/>
      <c r="Y47" s="21"/>
      <c r="Z47" s="21"/>
      <c r="AA47" s="21"/>
      <c r="AB47" s="21"/>
    </row>
    <row r="48" spans="1:28" ht="16" customHeight="1" x14ac:dyDescent="0.25">
      <c r="A48" s="14" t="str">
        <f ca="1">IF(ISNA(VLOOKUP($B48,KeyAll,COLUMN(Key!$C$4),0))=TRUE,"No key!",VLOOKUP($B48,KeyAll,COLUMN(Key!$C$4),0))</f>
        <v>I-0305G</v>
      </c>
      <c r="B48" s="14" t="s">
        <v>209</v>
      </c>
      <c r="C48" s="1" t="str">
        <f ca="1">IF(ISNA(VLOOKUP($B48,KeyAll,COLUMN(Key!$B$4),0))=TRUE,"No key!",VLOOKUP($B48,KeyAll,COLUMN(Key!$B$4),0))</f>
        <v>Computer Expenses</v>
      </c>
      <c r="D48" s="21">
        <v>5296.5219999999999</v>
      </c>
      <c r="E48" s="21">
        <v>5296.5219999999999</v>
      </c>
      <c r="F48" s="21">
        <v>5605.0609999999997</v>
      </c>
      <c r="G48" s="21">
        <v>5913.5999999999995</v>
      </c>
      <c r="H48" s="21">
        <v>6222.1390000000001</v>
      </c>
      <c r="I48" s="21">
        <v>6530.6779999999999</v>
      </c>
      <c r="J48" s="21">
        <v>6839.2239999999993</v>
      </c>
      <c r="K48" s="21">
        <v>7147.7629999999999</v>
      </c>
      <c r="L48" s="21">
        <v>7456.3019999999997</v>
      </c>
      <c r="M48" s="21">
        <v>7764.8409999999985</v>
      </c>
      <c r="N48" s="21">
        <v>8073.3799999999992</v>
      </c>
      <c r="O48" s="21">
        <v>8381.9259999999995</v>
      </c>
      <c r="P48" s="21">
        <v>8690.4650000000001</v>
      </c>
      <c r="T48" s="21"/>
      <c r="U48" s="21"/>
      <c r="V48" s="21"/>
      <c r="W48" s="21"/>
      <c r="X48" s="21"/>
      <c r="Y48" s="21"/>
      <c r="Z48" s="21"/>
      <c r="AA48" s="21"/>
      <c r="AB48" s="21"/>
    </row>
    <row r="49" spans="1:28" ht="16" customHeight="1" x14ac:dyDescent="0.25">
      <c r="A49" s="14" t="str">
        <f ca="1">IF(ISNA(VLOOKUP($B49,KeyAll,COLUMN(Key!$C$4),0))=TRUE,"No key!",VLOOKUP($B49,KeyAll,COLUMN(Key!$C$4),0))</f>
        <v>I-0306G</v>
      </c>
      <c r="B49" s="14" t="s">
        <v>210</v>
      </c>
      <c r="C49" s="1" t="str">
        <f ca="1">IF(ISNA(VLOOKUP($B49,KeyAll,COLUMN(Key!$B$4),0))=TRUE,"No key!",VLOOKUP($B49,KeyAll,COLUMN(Key!$B$4),0))</f>
        <v>Consumables &amp; Cleaning</v>
      </c>
      <c r="D49" s="21">
        <v>6289.4369999999999</v>
      </c>
      <c r="E49" s="21">
        <v>6289.4369999999999</v>
      </c>
      <c r="F49" s="21">
        <v>6593.4259999999995</v>
      </c>
      <c r="G49" s="21">
        <v>6897.415</v>
      </c>
      <c r="H49" s="21">
        <v>7201.4039999999986</v>
      </c>
      <c r="I49" s="21">
        <v>7505.3859999999995</v>
      </c>
      <c r="J49" s="21">
        <v>7809.3749999999991</v>
      </c>
      <c r="K49" s="21">
        <v>8113.3639999999996</v>
      </c>
      <c r="L49" s="21">
        <v>8417.3459999999995</v>
      </c>
      <c r="M49" s="21">
        <v>8721.3349999999991</v>
      </c>
      <c r="N49" s="21">
        <v>9025.3239999999987</v>
      </c>
      <c r="O49" s="21">
        <v>9329.3059999999987</v>
      </c>
      <c r="P49" s="21">
        <v>9633.2950000000001</v>
      </c>
      <c r="T49" s="21"/>
      <c r="U49" s="21"/>
      <c r="V49" s="21"/>
      <c r="W49" s="21"/>
      <c r="X49" s="21"/>
      <c r="Y49" s="21"/>
      <c r="Z49" s="21"/>
      <c r="AA49" s="21"/>
      <c r="AB49" s="21"/>
    </row>
    <row r="50" spans="1:28" ht="16" customHeight="1" x14ac:dyDescent="0.25">
      <c r="A50" s="14" t="str">
        <f ca="1">IF(ISNA(VLOOKUP($B50,KeyAll,COLUMN(Key!$C$4),0))=TRUE,"No key!",VLOOKUP($B50,KeyAll,COLUMN(Key!$C$4),0))</f>
        <v>I-0307G</v>
      </c>
      <c r="B50" s="14" t="s">
        <v>211</v>
      </c>
      <c r="C50" s="1" t="str">
        <f ca="1">IF(ISNA(VLOOKUP($B50,KeyAll,COLUMN(Key!$B$4),0))=TRUE,"No key!",VLOOKUP($B50,KeyAll,COLUMN(Key!$B$4),0))</f>
        <v>Entertainment</v>
      </c>
      <c r="D50" s="21">
        <v>1453.4449999999999</v>
      </c>
      <c r="E50" s="21">
        <v>1453.4449999999999</v>
      </c>
      <c r="F50" s="21">
        <v>1544.711</v>
      </c>
      <c r="G50" s="21">
        <v>1635.9839999999999</v>
      </c>
      <c r="H50" s="21">
        <v>1727.25</v>
      </c>
      <c r="I50" s="21">
        <v>1818.5159999999998</v>
      </c>
      <c r="J50" s="21">
        <v>1909.7889999999998</v>
      </c>
      <c r="K50" s="21">
        <v>2001.0549999999998</v>
      </c>
      <c r="L50" s="21">
        <v>2092.3209999999999</v>
      </c>
      <c r="M50" s="21">
        <v>2183.5940000000001</v>
      </c>
      <c r="N50" s="21">
        <v>2274.86</v>
      </c>
      <c r="O50" s="21">
        <v>2366.1259999999997</v>
      </c>
      <c r="P50" s="21">
        <v>2457.3989999999999</v>
      </c>
      <c r="T50" s="21"/>
      <c r="U50" s="21"/>
      <c r="V50" s="21"/>
      <c r="W50" s="21"/>
      <c r="X50" s="21"/>
      <c r="Y50" s="21"/>
      <c r="Z50" s="21"/>
      <c r="AA50" s="21"/>
      <c r="AB50" s="21"/>
    </row>
    <row r="51" spans="1:28" ht="16" customHeight="1" x14ac:dyDescent="0.25">
      <c r="A51" s="14" t="str">
        <f ca="1">IF(ISNA(VLOOKUP($B51,KeyAll,COLUMN(Key!$C$4),0))=TRUE,"No key!",VLOOKUP($B51,KeyAll,COLUMN(Key!$C$4),0))</f>
        <v>I-0308G</v>
      </c>
      <c r="B51" s="14" t="s">
        <v>212</v>
      </c>
      <c r="C51" s="1" t="str">
        <f ca="1">IF(ISNA(VLOOKUP($B51,KeyAll,COLUMN(Key!$B$4),0))=TRUE,"No key!",VLOOKUP($B51,KeyAll,COLUMN(Key!$B$4),0))</f>
        <v>Insurance</v>
      </c>
      <c r="D51" s="21">
        <v>5492.9489999999996</v>
      </c>
      <c r="E51" s="21">
        <v>5492.9489999999996</v>
      </c>
      <c r="F51" s="21">
        <v>5787.7889999999998</v>
      </c>
      <c r="G51" s="21">
        <v>6082.628999999999</v>
      </c>
      <c r="H51" s="21">
        <v>6377.4759999999997</v>
      </c>
      <c r="I51" s="21">
        <v>6672.3159999999989</v>
      </c>
      <c r="J51" s="21">
        <v>6967.1629999999996</v>
      </c>
      <c r="K51" s="21">
        <v>7262.0029999999997</v>
      </c>
      <c r="L51" s="21">
        <v>7556.8429999999989</v>
      </c>
      <c r="M51" s="21">
        <v>7851.69</v>
      </c>
      <c r="N51" s="21">
        <v>8146.5299999999988</v>
      </c>
      <c r="O51" s="21">
        <v>8441.3770000000004</v>
      </c>
      <c r="P51" s="21">
        <v>8736.2169999999987</v>
      </c>
      <c r="T51" s="21"/>
      <c r="U51" s="21"/>
      <c r="V51" s="21"/>
      <c r="W51" s="21"/>
      <c r="X51" s="21"/>
      <c r="Y51" s="21"/>
      <c r="Z51" s="21"/>
      <c r="AA51" s="21"/>
      <c r="AB51" s="21"/>
    </row>
    <row r="52" spans="1:28" ht="16" customHeight="1" x14ac:dyDescent="0.25">
      <c r="A52" s="14" t="str">
        <f ca="1">IF(ISNA(VLOOKUP($B52,KeyAll,COLUMN(Key!$C$4),0))=TRUE,"No key!",VLOOKUP($B52,KeyAll,COLUMN(Key!$C$4),0))</f>
        <v>I-0309G</v>
      </c>
      <c r="B52" s="14" t="s">
        <v>213</v>
      </c>
      <c r="C52" s="1" t="str">
        <f ca="1">IF(ISNA(VLOOKUP($B52,KeyAll,COLUMN(Key!$B$4),0))=TRUE,"No key!",VLOOKUP($B52,KeyAll,COLUMN(Key!$B$4),0))</f>
        <v>Office Expenses</v>
      </c>
      <c r="D52" s="21">
        <v>5557.0899999999992</v>
      </c>
      <c r="E52" s="21">
        <v>5557.0899999999992</v>
      </c>
      <c r="F52" s="21">
        <v>5832.8760000000002</v>
      </c>
      <c r="G52" s="21">
        <v>6108.6619999999994</v>
      </c>
      <c r="H52" s="21">
        <v>6384.4479999999994</v>
      </c>
      <c r="I52" s="21">
        <v>6660.2340000000004</v>
      </c>
      <c r="J52" s="21">
        <v>6936.0199999999995</v>
      </c>
      <c r="K52" s="21">
        <v>7211.8059999999996</v>
      </c>
      <c r="L52" s="21">
        <v>7487.5919999999987</v>
      </c>
      <c r="M52" s="21">
        <v>7763.3779999999997</v>
      </c>
      <c r="N52" s="21">
        <v>8039.1639999999998</v>
      </c>
      <c r="O52" s="21">
        <v>8314.9499999999989</v>
      </c>
      <c r="P52" s="21">
        <v>8590.735999999999</v>
      </c>
      <c r="T52" s="21"/>
      <c r="U52" s="21"/>
      <c r="V52" s="21"/>
      <c r="W52" s="21"/>
      <c r="X52" s="21"/>
      <c r="Y52" s="21"/>
      <c r="Z52" s="21"/>
      <c r="AA52" s="21"/>
      <c r="AB52" s="21"/>
    </row>
    <row r="53" spans="1:28" ht="16" customHeight="1" x14ac:dyDescent="0.25">
      <c r="A53" s="14" t="str">
        <f ca="1">IF(ISNA(VLOOKUP($B53,KeyAll,COLUMN(Key!$C$4),0))=TRUE,"No key!",VLOOKUP($B53,KeyAll,COLUMN(Key!$C$4),0))</f>
        <v>I-0310G</v>
      </c>
      <c r="B53" s="14" t="s">
        <v>214</v>
      </c>
      <c r="C53" s="1" t="str">
        <f ca="1">IF(ISNA(VLOOKUP($B53,KeyAll,COLUMN(Key!$B$4),0))=TRUE,"No key!",VLOOKUP($B53,KeyAll,COLUMN(Key!$B$4),0))</f>
        <v>Office Rent</v>
      </c>
      <c r="D53" s="21">
        <v>11820.521999999999</v>
      </c>
      <c r="E53" s="21">
        <v>11820.521999999999</v>
      </c>
      <c r="F53" s="21">
        <v>12090.337</v>
      </c>
      <c r="G53" s="21">
        <v>12360.158999999998</v>
      </c>
      <c r="H53" s="21">
        <v>12629.973999999998</v>
      </c>
      <c r="I53" s="21">
        <v>12899.788999999999</v>
      </c>
      <c r="J53" s="21">
        <v>13169.610999999999</v>
      </c>
      <c r="K53" s="21">
        <v>13439.425999999999</v>
      </c>
      <c r="L53" s="21">
        <v>13709.248</v>
      </c>
      <c r="M53" s="21">
        <v>13979.063</v>
      </c>
      <c r="N53" s="21">
        <v>14248.884999999998</v>
      </c>
      <c r="O53" s="21">
        <v>14518.699999999999</v>
      </c>
      <c r="P53" s="21">
        <v>14788.514999999999</v>
      </c>
      <c r="T53" s="21"/>
      <c r="U53" s="21"/>
      <c r="V53" s="21"/>
      <c r="W53" s="21"/>
      <c r="X53" s="21"/>
      <c r="Y53" s="21"/>
      <c r="Z53" s="21"/>
      <c r="AA53" s="21"/>
      <c r="AB53" s="21"/>
    </row>
    <row r="54" spans="1:28" ht="16" customHeight="1" x14ac:dyDescent="0.25">
      <c r="A54" s="14" t="str">
        <f ca="1">IF(ISNA(VLOOKUP($B54,KeyAll,COLUMN(Key!$C$4),0))=TRUE,"No key!",VLOOKUP($B54,KeyAll,COLUMN(Key!$C$4),0))</f>
        <v>I-0311G</v>
      </c>
      <c r="B54" s="14" t="s">
        <v>215</v>
      </c>
      <c r="C54" s="1" t="str">
        <f ca="1">IF(ISNA(VLOOKUP($B54,KeyAll,COLUMN(Key!$B$4),0))=TRUE,"No key!",VLOOKUP($B54,KeyAll,COLUMN(Key!$B$4),0))</f>
        <v>Postage</v>
      </c>
      <c r="D54" s="21">
        <v>860.1389999999999</v>
      </c>
      <c r="E54" s="21">
        <v>860.1389999999999</v>
      </c>
      <c r="F54" s="21">
        <v>882.91</v>
      </c>
      <c r="G54" s="21">
        <v>905.68099999999993</v>
      </c>
      <c r="H54" s="21">
        <v>928.45199999999988</v>
      </c>
      <c r="I54" s="21">
        <v>951.22299999999996</v>
      </c>
      <c r="J54" s="21">
        <v>973.99400000000003</v>
      </c>
      <c r="K54" s="21">
        <v>996.76499999999999</v>
      </c>
      <c r="L54" s="21">
        <v>1019.5359999999999</v>
      </c>
      <c r="M54" s="21">
        <v>1042.307</v>
      </c>
      <c r="N54" s="21">
        <v>1065.078</v>
      </c>
      <c r="O54" s="21">
        <v>1087.8489999999999</v>
      </c>
      <c r="P54" s="21">
        <v>1110.6199999999999</v>
      </c>
      <c r="T54" s="21"/>
      <c r="U54" s="21"/>
      <c r="V54" s="21"/>
      <c r="W54" s="21"/>
      <c r="X54" s="21"/>
      <c r="Y54" s="21"/>
      <c r="Z54" s="21"/>
      <c r="AA54" s="21"/>
      <c r="AB54" s="21"/>
    </row>
    <row r="55" spans="1:28" ht="16" customHeight="1" x14ac:dyDescent="0.25">
      <c r="A55" s="14" t="str">
        <f ca="1">IF(ISNA(VLOOKUP($B55,KeyAll,COLUMN(Key!$C$4),0))=TRUE,"No key!",VLOOKUP($B55,KeyAll,COLUMN(Key!$C$4),0))</f>
        <v>I-0312G</v>
      </c>
      <c r="B55" s="14" t="s">
        <v>216</v>
      </c>
      <c r="C55" s="1" t="str">
        <f ca="1">IF(ISNA(VLOOKUP($B55,KeyAll,COLUMN(Key!$B$4),0))=TRUE,"No key!",VLOOKUP($B55,KeyAll,COLUMN(Key!$B$4),0))</f>
        <v>Professional &amp; Legal Fees</v>
      </c>
      <c r="D55" s="21">
        <v>898.00199999999984</v>
      </c>
      <c r="E55" s="21">
        <v>898.00199999999984</v>
      </c>
      <c r="F55" s="21">
        <v>950.25699999999995</v>
      </c>
      <c r="G55" s="21">
        <v>1002.505</v>
      </c>
      <c r="H55" s="21">
        <v>1054.7529999999999</v>
      </c>
      <c r="I55" s="21">
        <v>1107.001</v>
      </c>
      <c r="J55" s="21">
        <v>1159.2559999999999</v>
      </c>
      <c r="K55" s="21">
        <v>1211.5039999999999</v>
      </c>
      <c r="L55" s="21">
        <v>1263.752</v>
      </c>
      <c r="M55" s="21">
        <v>1316.0069999999998</v>
      </c>
      <c r="N55" s="21">
        <v>1368.2549999999999</v>
      </c>
      <c r="O55" s="21">
        <v>1420.5029999999999</v>
      </c>
      <c r="P55" s="21">
        <v>1472.7509999999997</v>
      </c>
      <c r="T55" s="21"/>
      <c r="U55" s="21"/>
      <c r="V55" s="21"/>
      <c r="W55" s="21"/>
      <c r="X55" s="21"/>
      <c r="Y55" s="21"/>
      <c r="Z55" s="21"/>
      <c r="AA55" s="21"/>
      <c r="AB55" s="21"/>
    </row>
    <row r="56" spans="1:28" ht="16" customHeight="1" x14ac:dyDescent="0.25">
      <c r="A56" s="14" t="str">
        <f ca="1">IF(ISNA(VLOOKUP($B56,KeyAll,COLUMN(Key!$C$4),0))=TRUE,"No key!",VLOOKUP($B56,KeyAll,COLUMN(Key!$C$4),0))</f>
        <v>I-0313G</v>
      </c>
      <c r="B56" s="14" t="s">
        <v>217</v>
      </c>
      <c r="C56" s="1" t="str">
        <f ca="1">IF(ISNA(VLOOKUP($B56,KeyAll,COLUMN(Key!$B$4),0))=TRUE,"No key!",VLOOKUP($B56,KeyAll,COLUMN(Key!$B$4),0))</f>
        <v>Stationery</v>
      </c>
      <c r="D56" s="21">
        <v>2680.4399999999996</v>
      </c>
      <c r="E56" s="21">
        <v>2680.4399999999996</v>
      </c>
      <c r="F56" s="21">
        <v>2815.8409999999999</v>
      </c>
      <c r="G56" s="21">
        <v>2951.2420000000002</v>
      </c>
      <c r="H56" s="21">
        <v>3086.6429999999996</v>
      </c>
      <c r="I56" s="21">
        <v>3222.0439999999999</v>
      </c>
      <c r="J56" s="21">
        <v>3357.4450000000002</v>
      </c>
      <c r="K56" s="21">
        <v>3492.8459999999995</v>
      </c>
      <c r="L56" s="21">
        <v>3628.2469999999998</v>
      </c>
      <c r="M56" s="21">
        <v>3763.6480000000001</v>
      </c>
      <c r="N56" s="21">
        <v>3899.0489999999995</v>
      </c>
      <c r="O56" s="21">
        <v>4034.45</v>
      </c>
      <c r="P56" s="21">
        <v>4169.8509999999997</v>
      </c>
      <c r="T56" s="21"/>
      <c r="U56" s="21"/>
      <c r="V56" s="21"/>
      <c r="W56" s="21"/>
      <c r="X56" s="21"/>
      <c r="Y56" s="21"/>
      <c r="Z56" s="21"/>
      <c r="AA56" s="21"/>
      <c r="AB56" s="21"/>
    </row>
    <row r="57" spans="1:28" ht="16" customHeight="1" x14ac:dyDescent="0.25">
      <c r="A57" s="14" t="str">
        <f ca="1">IF(ISNA(VLOOKUP($B57,KeyAll,COLUMN(Key!$C$4),0))=TRUE,"No key!",VLOOKUP($B57,KeyAll,COLUMN(Key!$C$4),0))</f>
        <v>I-0314G</v>
      </c>
      <c r="B57" s="14" t="s">
        <v>218</v>
      </c>
      <c r="C57" s="1" t="str">
        <f ca="1">IF(ISNA(VLOOKUP($B57,KeyAll,COLUMN(Key!$B$4),0))=TRUE,"No key!",VLOOKUP($B57,KeyAll,COLUMN(Key!$B$4),0))</f>
        <v>Subscriptions &amp; Memberships</v>
      </c>
      <c r="D57" s="21">
        <v>6417.67</v>
      </c>
      <c r="E57" s="21">
        <v>6417.67</v>
      </c>
      <c r="F57" s="21">
        <v>6642.0129999999999</v>
      </c>
      <c r="G57" s="21">
        <v>6866.3629999999994</v>
      </c>
      <c r="H57" s="21">
        <v>7090.7059999999992</v>
      </c>
      <c r="I57" s="21">
        <v>7315.0489999999991</v>
      </c>
      <c r="J57" s="21">
        <v>7539.3989999999994</v>
      </c>
      <c r="K57" s="21">
        <v>7763.7419999999993</v>
      </c>
      <c r="L57" s="21">
        <v>7988.0919999999987</v>
      </c>
      <c r="M57" s="21">
        <v>8212.4349999999995</v>
      </c>
      <c r="N57" s="21">
        <v>8436.7849999999999</v>
      </c>
      <c r="O57" s="21">
        <v>8661.1280000000006</v>
      </c>
      <c r="P57" s="21">
        <v>8885.4709999999995</v>
      </c>
      <c r="T57" s="21"/>
      <c r="U57" s="21"/>
      <c r="V57" s="21"/>
      <c r="W57" s="21"/>
      <c r="X57" s="21"/>
      <c r="Y57" s="21"/>
      <c r="Z57" s="21"/>
      <c r="AA57" s="21"/>
      <c r="AB57" s="21"/>
    </row>
    <row r="58" spans="1:28" ht="16" customHeight="1" x14ac:dyDescent="0.25">
      <c r="A58" s="14" t="str">
        <f ca="1">IF(ISNA(VLOOKUP($B58,KeyAll,COLUMN(Key!$C$4),0))=TRUE,"No key!",VLOOKUP($B58,KeyAll,COLUMN(Key!$C$4),0))</f>
        <v>I-0315G</v>
      </c>
      <c r="B58" s="14" t="s">
        <v>219</v>
      </c>
      <c r="C58" s="1" t="str">
        <f ca="1">IF(ISNA(VLOOKUP($B58,KeyAll,COLUMN(Key!$B$4),0))=TRUE,"No key!",VLOOKUP($B58,KeyAll,COLUMN(Key!$B$4),0))</f>
        <v>Telephone &amp; Internet</v>
      </c>
      <c r="D58" s="21">
        <v>3285.4149999999995</v>
      </c>
      <c r="E58" s="21">
        <v>3285.4149999999995</v>
      </c>
      <c r="F58" s="21">
        <v>3500.0559999999996</v>
      </c>
      <c r="G58" s="21">
        <v>3714.7039999999997</v>
      </c>
      <c r="H58" s="21">
        <v>3929.3519999999994</v>
      </c>
      <c r="I58" s="21">
        <v>4144</v>
      </c>
      <c r="J58" s="21">
        <v>4358.6409999999996</v>
      </c>
      <c r="K58" s="21">
        <v>4573.2889999999998</v>
      </c>
      <c r="L58" s="21">
        <v>4787.9369999999999</v>
      </c>
      <c r="M58" s="21">
        <v>5002.5779999999995</v>
      </c>
      <c r="N58" s="21">
        <v>5217.2259999999997</v>
      </c>
      <c r="O58" s="21">
        <v>5431.8739999999998</v>
      </c>
      <c r="P58" s="21">
        <v>5646.5219999999999</v>
      </c>
      <c r="T58" s="21"/>
      <c r="U58" s="21"/>
      <c r="V58" s="21"/>
      <c r="W58" s="21"/>
      <c r="X58" s="21"/>
      <c r="Y58" s="21"/>
      <c r="Z58" s="21"/>
      <c r="AA58" s="21"/>
      <c r="AB58" s="21"/>
    </row>
    <row r="59" spans="1:28" ht="16" customHeight="1" x14ac:dyDescent="0.25">
      <c r="A59" s="14" t="str">
        <f ca="1">IF(ISNA(VLOOKUP($B59,KeyAll,COLUMN(Key!$C$4),0))=TRUE,"No key!",VLOOKUP($B59,KeyAll,COLUMN(Key!$C$4),0))</f>
        <v>I-0316G</v>
      </c>
      <c r="B59" s="14" t="s">
        <v>220</v>
      </c>
      <c r="C59" s="1" t="str">
        <f ca="1">IF(ISNA(VLOOKUP($B59,KeyAll,COLUMN(Key!$B$4),0))=TRUE,"No key!",VLOOKUP($B59,KeyAll,COLUMN(Key!$B$4),0))</f>
        <v>Training</v>
      </c>
      <c r="D59" s="21">
        <v>2141.4259999999999</v>
      </c>
      <c r="E59" s="21">
        <v>2141.4259999999999</v>
      </c>
      <c r="F59" s="21">
        <v>2194.1499999999996</v>
      </c>
      <c r="G59" s="21">
        <v>2246.8669999999997</v>
      </c>
      <c r="H59" s="21">
        <v>2299.5839999999998</v>
      </c>
      <c r="I59" s="21">
        <v>2352.308</v>
      </c>
      <c r="J59" s="21">
        <v>2405.0249999999996</v>
      </c>
      <c r="K59" s="21">
        <v>2457.7419999999997</v>
      </c>
      <c r="L59" s="21">
        <v>2510.4659999999999</v>
      </c>
      <c r="M59" s="21">
        <v>2563.183</v>
      </c>
      <c r="N59" s="21">
        <v>2615.8999999999996</v>
      </c>
      <c r="O59" s="21">
        <v>2668.6239999999998</v>
      </c>
      <c r="P59" s="21">
        <v>2721.3409999999999</v>
      </c>
      <c r="T59" s="21"/>
      <c r="U59" s="21"/>
      <c r="V59" s="21"/>
      <c r="W59" s="21"/>
      <c r="X59" s="21"/>
      <c r="Y59" s="21"/>
      <c r="Z59" s="21"/>
      <c r="AA59" s="21"/>
      <c r="AB59" s="21"/>
    </row>
    <row r="60" spans="1:28" ht="16" customHeight="1" x14ac:dyDescent="0.25">
      <c r="A60" s="14" t="str">
        <f ca="1">IF(ISNA(VLOOKUP($B60,KeyAll,COLUMN(Key!$C$4),0))=TRUE,"No key!",VLOOKUP($B60,KeyAll,COLUMN(Key!$C$4),0))</f>
        <v>I-0317G</v>
      </c>
      <c r="B60" s="14" t="s">
        <v>221</v>
      </c>
      <c r="C60" s="1" t="str">
        <f ca="1">IF(ISNA(VLOOKUP($B60,KeyAll,COLUMN(Key!$B$4),0))=TRUE,"No key!",VLOOKUP($B60,KeyAll,COLUMN(Key!$B$4),0))</f>
        <v>Travelling &amp; Accommodation</v>
      </c>
      <c r="D60" s="21">
        <v>2525.4319999999998</v>
      </c>
      <c r="E60" s="21">
        <v>2525.4319999999998</v>
      </c>
      <c r="F60" s="21">
        <v>2600.3739999999998</v>
      </c>
      <c r="G60" s="21">
        <v>2675.3089999999997</v>
      </c>
      <c r="H60" s="21">
        <v>2750.2509999999997</v>
      </c>
      <c r="I60" s="21">
        <v>2825.1859999999997</v>
      </c>
      <c r="J60" s="21">
        <v>2900.1209999999996</v>
      </c>
      <c r="K60" s="21">
        <v>2975.0630000000001</v>
      </c>
      <c r="L60" s="21">
        <v>3049.998</v>
      </c>
      <c r="M60" s="21">
        <v>3124.9399999999996</v>
      </c>
      <c r="N60" s="21">
        <v>3199.875</v>
      </c>
      <c r="O60" s="21">
        <v>3274.81</v>
      </c>
      <c r="P60" s="21">
        <v>3349.7519999999995</v>
      </c>
      <c r="T60" s="21"/>
      <c r="U60" s="21"/>
      <c r="V60" s="21"/>
      <c r="W60" s="21"/>
      <c r="X60" s="21"/>
      <c r="Y60" s="21"/>
      <c r="Z60" s="21"/>
      <c r="AA60" s="21"/>
      <c r="AB60" s="21"/>
    </row>
    <row r="61" spans="1:28" ht="16" customHeight="1" x14ac:dyDescent="0.25">
      <c r="A61" s="14" t="str">
        <f ca="1">IF(ISNA(VLOOKUP($B61,KeyAll,COLUMN(Key!$C$4),0))=TRUE,"No key!",VLOOKUP($B61,KeyAll,COLUMN(Key!$C$4),0))</f>
        <v>I-0318G</v>
      </c>
      <c r="B61" s="14" t="s">
        <v>222</v>
      </c>
      <c r="C61" s="1" t="str">
        <f ca="1">IF(ISNA(VLOOKUP($B61,KeyAll,COLUMN(Key!$B$4),0))=TRUE,"No key!",VLOOKUP($B61,KeyAll,COLUMN(Key!$B$4),0))</f>
        <v>Utilities</v>
      </c>
      <c r="D61" s="21">
        <v>6557.0960000000005</v>
      </c>
      <c r="E61" s="21">
        <v>6557.0960000000005</v>
      </c>
      <c r="F61" s="21">
        <v>7006.1739999999991</v>
      </c>
      <c r="G61" s="21">
        <v>7455.2519999999995</v>
      </c>
      <c r="H61" s="21">
        <v>7904.329999999999</v>
      </c>
      <c r="I61" s="21">
        <v>8353.4009999999998</v>
      </c>
      <c r="J61" s="21">
        <v>8802.4789999999994</v>
      </c>
      <c r="K61" s="21">
        <v>9251.5569999999989</v>
      </c>
      <c r="L61" s="21">
        <v>9700.6349999999984</v>
      </c>
      <c r="M61" s="21">
        <v>10149.713</v>
      </c>
      <c r="N61" s="21">
        <v>10598.790999999999</v>
      </c>
      <c r="O61" s="21">
        <v>11047.868999999999</v>
      </c>
      <c r="P61" s="21">
        <v>11496.946999999998</v>
      </c>
      <c r="T61" s="21"/>
      <c r="U61" s="21"/>
      <c r="V61" s="21"/>
      <c r="W61" s="21"/>
      <c r="X61" s="21"/>
      <c r="Y61" s="21"/>
      <c r="Z61" s="21"/>
      <c r="AA61" s="21"/>
      <c r="AB61" s="21"/>
    </row>
    <row r="62" spans="1:28" ht="16" customHeight="1" x14ac:dyDescent="0.25">
      <c r="A62" s="14" t="str">
        <f ca="1">IF(ISNA(VLOOKUP($B62,KeyAll,COLUMN(Key!$C$4),0))=TRUE,"No key!",VLOOKUP($B62,KeyAll,COLUMN(Key!$C$4),0))</f>
        <v>I-0401G</v>
      </c>
      <c r="B62" s="14" t="s">
        <v>223</v>
      </c>
      <c r="C62" s="1" t="str">
        <f ca="1">IF(ISNA(VLOOKUP($B62,KeyAll,COLUMN(Key!$B$4),0))=TRUE,"No key!",VLOOKUP($B62,KeyAll,COLUMN(Key!$B$4),0))</f>
        <v>Salaries &amp; Wages - Staff</v>
      </c>
      <c r="D62" s="21">
        <v>21584.562999999998</v>
      </c>
      <c r="E62" s="21">
        <v>21584.562999999998</v>
      </c>
      <c r="F62" s="21">
        <v>22566.690999999999</v>
      </c>
      <c r="G62" s="21">
        <v>23548.812000000002</v>
      </c>
      <c r="H62" s="21">
        <v>24530.933000000001</v>
      </c>
      <c r="I62" s="21">
        <v>25513.054</v>
      </c>
      <c r="J62" s="21">
        <v>26495.174999999999</v>
      </c>
      <c r="K62" s="21">
        <v>27477.295999999998</v>
      </c>
      <c r="L62" s="21">
        <v>28459.416999999998</v>
      </c>
      <c r="M62" s="21">
        <v>29441.537999999997</v>
      </c>
      <c r="N62" s="21">
        <v>30423.665999999997</v>
      </c>
      <c r="O62" s="21">
        <v>31405.787</v>
      </c>
      <c r="P62" s="21">
        <v>32387.907999999999</v>
      </c>
      <c r="T62" s="21"/>
      <c r="U62" s="21"/>
      <c r="V62" s="21"/>
      <c r="W62" s="21"/>
      <c r="X62" s="21"/>
      <c r="Y62" s="21"/>
      <c r="Z62" s="21"/>
      <c r="AA62" s="21"/>
      <c r="AB62" s="21"/>
    </row>
    <row r="63" spans="1:28" ht="16" customHeight="1" x14ac:dyDescent="0.25">
      <c r="A63" s="14" t="str">
        <f ca="1">IF(ISNA(VLOOKUP($B63,KeyAll,COLUMN(Key!$C$4),0))=TRUE,"No key!",VLOOKUP($B63,KeyAll,COLUMN(Key!$C$4),0))</f>
        <v>I-0402G</v>
      </c>
      <c r="B63" s="14" t="s">
        <v>225</v>
      </c>
      <c r="C63" s="1" t="str">
        <f ca="1">IF(ISNA(VLOOKUP($B63,KeyAll,COLUMN(Key!$B$4),0))=TRUE,"No key!",VLOOKUP($B63,KeyAll,COLUMN(Key!$B$4),0))</f>
        <v>Salaries &amp; Wages - Management</v>
      </c>
      <c r="D63" s="21">
        <v>24564.260000000002</v>
      </c>
      <c r="E63" s="21">
        <v>24564.260000000002</v>
      </c>
      <c r="F63" s="21">
        <v>25093.131000000001</v>
      </c>
      <c r="G63" s="21">
        <v>25621.994999999999</v>
      </c>
      <c r="H63" s="21">
        <v>26150.865999999998</v>
      </c>
      <c r="I63" s="21">
        <v>26679.73</v>
      </c>
      <c r="J63" s="21">
        <v>27208.600999999999</v>
      </c>
      <c r="K63" s="21">
        <v>27737.464999999997</v>
      </c>
      <c r="L63" s="21">
        <v>28266.335999999999</v>
      </c>
      <c r="M63" s="21">
        <v>28795.199999999997</v>
      </c>
      <c r="N63" s="21">
        <v>29324.070999999996</v>
      </c>
      <c r="O63" s="21">
        <v>29852.935000000001</v>
      </c>
      <c r="P63" s="21">
        <v>30381.798999999999</v>
      </c>
      <c r="T63" s="21"/>
      <c r="U63" s="21"/>
      <c r="V63" s="21"/>
      <c r="W63" s="21"/>
      <c r="X63" s="21"/>
      <c r="Y63" s="21"/>
      <c r="Z63" s="21"/>
      <c r="AA63" s="21"/>
      <c r="AB63" s="21"/>
    </row>
    <row r="64" spans="1:28" ht="16" customHeight="1" x14ac:dyDescent="0.25">
      <c r="A64" s="14" t="str">
        <f ca="1">IF(ISNA(VLOOKUP($B64,KeyAll,COLUMN(Key!$C$4),0))=TRUE,"No key!",VLOOKUP($B64,KeyAll,COLUMN(Key!$C$4),0))</f>
        <v>I-0501G</v>
      </c>
      <c r="B64" s="14" t="s">
        <v>227</v>
      </c>
      <c r="C64" s="1" t="str">
        <f ca="1">IF(ISNA(VLOOKUP($B64,KeyAll,COLUMN(Key!$B$4),0))=TRUE,"No key!",VLOOKUP($B64,KeyAll,COLUMN(Key!$B$4),0))</f>
        <v>Depreciation</v>
      </c>
      <c r="D64" s="21">
        <v>6473.5369999999994</v>
      </c>
      <c r="E64" s="21">
        <v>6473.5369999999994</v>
      </c>
      <c r="F64" s="21">
        <v>6692.84</v>
      </c>
      <c r="G64" s="21">
        <v>6912.15</v>
      </c>
      <c r="H64" s="21">
        <v>7131.4530000000004</v>
      </c>
      <c r="I64" s="21">
        <v>7350.7559999999994</v>
      </c>
      <c r="J64" s="21">
        <v>7570.0590000000002</v>
      </c>
      <c r="K64" s="21">
        <v>7789.3619999999992</v>
      </c>
      <c r="L64" s="21">
        <v>8008.665</v>
      </c>
      <c r="M64" s="21">
        <v>8227.9679999999989</v>
      </c>
      <c r="N64" s="21">
        <v>8447.2780000000002</v>
      </c>
      <c r="O64" s="21">
        <v>8666.5810000000001</v>
      </c>
      <c r="P64" s="21">
        <v>8885.884</v>
      </c>
      <c r="T64" s="21"/>
      <c r="U64" s="21"/>
      <c r="V64" s="21"/>
      <c r="W64" s="21"/>
      <c r="X64" s="21"/>
      <c r="Y64" s="21"/>
      <c r="Z64" s="21"/>
      <c r="AA64" s="21"/>
      <c r="AB64" s="21"/>
    </row>
    <row r="65" spans="1:28" ht="16" customHeight="1" x14ac:dyDescent="0.25">
      <c r="A65" s="14" t="str">
        <f ca="1">IF(ISNA(VLOOKUP($B65,KeyAll,COLUMN(Key!$C$4),0))=TRUE,"No key!",VLOOKUP($B65,KeyAll,COLUMN(Key!$C$4),0))</f>
        <v>I-0502G</v>
      </c>
      <c r="B65" s="14" t="s">
        <v>228</v>
      </c>
      <c r="C65" s="1" t="str">
        <f ca="1">IF(ISNA(VLOOKUP($B65,KeyAll,COLUMN(Key!$B$4),0))=TRUE,"No key!",VLOOKUP($B65,KeyAll,COLUMN(Key!$B$4),0))</f>
        <v>Amortization</v>
      </c>
      <c r="D65" s="21">
        <v>6056.4559999999992</v>
      </c>
      <c r="E65" s="21">
        <v>6056.4559999999992</v>
      </c>
      <c r="F65" s="21">
        <v>6337.253999999999</v>
      </c>
      <c r="G65" s="21">
        <v>6618.0519999999997</v>
      </c>
      <c r="H65" s="21">
        <v>6898.8499999999995</v>
      </c>
      <c r="I65" s="21">
        <v>7179.6409999999987</v>
      </c>
      <c r="J65" s="21">
        <v>7460.4389999999994</v>
      </c>
      <c r="K65" s="21">
        <v>7741.2369999999992</v>
      </c>
      <c r="L65" s="21">
        <v>8022.0349999999989</v>
      </c>
      <c r="M65" s="21">
        <v>8302.8330000000005</v>
      </c>
      <c r="N65" s="21">
        <v>8583.6239999999998</v>
      </c>
      <c r="O65" s="21">
        <v>8864.4219999999987</v>
      </c>
      <c r="P65" s="21">
        <v>9145.2199999999993</v>
      </c>
      <c r="T65" s="21"/>
      <c r="U65" s="21"/>
      <c r="V65" s="21"/>
      <c r="W65" s="21"/>
      <c r="X65" s="21"/>
      <c r="Y65" s="21"/>
      <c r="Z65" s="21"/>
      <c r="AA65" s="21"/>
      <c r="AB65" s="21"/>
    </row>
    <row r="66" spans="1:28" ht="16" customHeight="1" x14ac:dyDescent="0.25">
      <c r="A66" s="14" t="str">
        <f ca="1">IF(ISNA(VLOOKUP($B66,KeyAll,COLUMN(Key!$C$4),0))=TRUE,"No key!",VLOOKUP($B66,KeyAll,COLUMN(Key!$C$4),0))</f>
        <v>I-06G</v>
      </c>
      <c r="B66" s="14" t="s">
        <v>197</v>
      </c>
      <c r="C66" s="1" t="str">
        <f ca="1">IF(ISNA(VLOOKUP($B66,KeyAll,COLUMN(Key!$B$4),0))=TRUE,"No key!",VLOOKUP($B66,KeyAll,COLUMN(Key!$B$4),0))</f>
        <v>Interest Paid</v>
      </c>
      <c r="D66" s="21">
        <v>2703.4209999999998</v>
      </c>
      <c r="E66" s="21">
        <v>2703.4209999999998</v>
      </c>
      <c r="F66" s="21">
        <v>2775.3389999999999</v>
      </c>
      <c r="G66" s="21">
        <v>2847.2639999999997</v>
      </c>
      <c r="H66" s="21">
        <v>2919.1819999999998</v>
      </c>
      <c r="I66" s="21">
        <v>2991.1</v>
      </c>
      <c r="J66" s="21">
        <v>3063.0179999999996</v>
      </c>
      <c r="K66" s="21">
        <v>3134.9359999999997</v>
      </c>
      <c r="L66" s="21">
        <v>3206.8609999999994</v>
      </c>
      <c r="M66" s="21">
        <v>3278.779</v>
      </c>
      <c r="N66" s="21">
        <v>3350.6969999999997</v>
      </c>
      <c r="O66" s="21">
        <v>3422.6149999999998</v>
      </c>
      <c r="P66" s="21">
        <v>3494.5329999999994</v>
      </c>
      <c r="T66" s="21"/>
      <c r="U66" s="21"/>
      <c r="V66" s="21"/>
      <c r="W66" s="21"/>
      <c r="X66" s="21"/>
      <c r="Y66" s="21"/>
      <c r="Z66" s="21"/>
      <c r="AA66" s="21"/>
      <c r="AB66" s="21"/>
    </row>
    <row r="67" spans="1:28" ht="16" customHeight="1" x14ac:dyDescent="0.25">
      <c r="A67" s="14" t="str">
        <f ca="1">IF(ISNA(VLOOKUP($B67,KeyAll,COLUMN(Key!$C$4),0))=TRUE,"No key!",VLOOKUP($B67,KeyAll,COLUMN(Key!$C$4),0))</f>
        <v>I-07G</v>
      </c>
      <c r="B67" s="14" t="s">
        <v>198</v>
      </c>
      <c r="C67" s="1" t="str">
        <f ca="1">IF(ISNA(VLOOKUP($B67,KeyAll,COLUMN(Key!$B$4),0))=TRUE,"No key!",VLOOKUP($B67,KeyAll,COLUMN(Key!$B$4),0))</f>
        <v>Taxation</v>
      </c>
      <c r="D67" s="21">
        <v>6691.09</v>
      </c>
      <c r="E67" s="21">
        <v>6691.09</v>
      </c>
      <c r="F67" s="21">
        <v>6920.0599999999995</v>
      </c>
      <c r="G67" s="21">
        <v>7149.03</v>
      </c>
      <c r="H67" s="21">
        <v>7377.9999999999991</v>
      </c>
      <c r="I67" s="21">
        <v>7606.9629999999997</v>
      </c>
      <c r="J67" s="21">
        <v>7835.933</v>
      </c>
      <c r="K67" s="21">
        <v>8064.9030000000002</v>
      </c>
      <c r="L67" s="21">
        <v>8293.8729999999996</v>
      </c>
      <c r="M67" s="21">
        <v>8522.8359999999993</v>
      </c>
      <c r="N67" s="21">
        <v>8751.8059999999987</v>
      </c>
      <c r="O67" s="21">
        <v>8980.7759999999998</v>
      </c>
      <c r="P67" s="21">
        <v>9209.7389999999996</v>
      </c>
      <c r="T67" s="21"/>
      <c r="U67" s="21"/>
      <c r="V67" s="21"/>
      <c r="W67" s="21"/>
      <c r="X67" s="21"/>
      <c r="Y67" s="21"/>
      <c r="Z67" s="21"/>
      <c r="AA67" s="21"/>
      <c r="AB67" s="21"/>
    </row>
    <row r="68" spans="1:28" ht="16" customHeight="1" x14ac:dyDescent="0.25">
      <c r="A68" s="14" t="str">
        <f ca="1">IF(ISNA(VLOOKUP($B68,KeyAll,COLUMN(Key!$C$4),0))=TRUE,"No key!",VLOOKUP($B68,KeyAll,COLUMN(Key!$C$4),0))</f>
        <v>I-08G</v>
      </c>
      <c r="B68" s="14" t="s">
        <v>200</v>
      </c>
      <c r="C68" s="1" t="str">
        <f ca="1">IF(ISNA(VLOOKUP($B68,KeyAll,COLUMN(Key!$B$4),0))=TRUE,"No key!",VLOOKUP($B68,KeyAll,COLUMN(Key!$B$4),0))</f>
        <v>Other Expenses</v>
      </c>
      <c r="D68" s="21">
        <v>5853.4909999999991</v>
      </c>
      <c r="E68" s="21">
        <v>5853.4909999999991</v>
      </c>
      <c r="F68" s="21">
        <v>6272.860999999999</v>
      </c>
      <c r="G68" s="21">
        <v>6692.2239999999993</v>
      </c>
      <c r="H68" s="21">
        <v>7111.5940000000001</v>
      </c>
      <c r="I68" s="21">
        <v>7530.9569999999994</v>
      </c>
      <c r="J68" s="21">
        <v>7950.3270000000002</v>
      </c>
      <c r="K68" s="21">
        <v>8369.69</v>
      </c>
      <c r="L68" s="21">
        <v>8789.06</v>
      </c>
      <c r="M68" s="21">
        <v>9208.4299999999985</v>
      </c>
      <c r="N68" s="21">
        <v>9627.7929999999997</v>
      </c>
      <c r="O68" s="21">
        <v>10047.162999999999</v>
      </c>
      <c r="P68" s="21">
        <v>10466.526</v>
      </c>
      <c r="T68" s="21"/>
      <c r="U68" s="21"/>
      <c r="V68" s="21"/>
      <c r="W68" s="21"/>
      <c r="X68" s="21"/>
      <c r="Y68" s="21"/>
      <c r="Z68" s="21"/>
      <c r="AA68" s="21"/>
      <c r="AB68" s="21"/>
    </row>
    <row r="69" spans="1:28" ht="16" customHeight="1" x14ac:dyDescent="0.25">
      <c r="A69" s="14" t="str">
        <f ca="1">IF(ISNA(VLOOKUP($B69,KeyAll,COLUMN(Key!$C$4),0))=TRUE,"No key!",VLOOKUP($B69,KeyAll,COLUMN(Key!$C$4),0))</f>
        <v>I-08G</v>
      </c>
      <c r="B69" s="14" t="s">
        <v>230</v>
      </c>
      <c r="C69" s="1" t="str">
        <f ca="1">IF(ISNA(VLOOKUP($B69,KeyAll,COLUMN(Key!$B$4),0))=TRUE,"No key!",VLOOKUP($B69,KeyAll,COLUMN(Key!$B$4),0))</f>
        <v>Foreign Exchange Loss</v>
      </c>
      <c r="D69" s="21">
        <v>743.79899999999986</v>
      </c>
      <c r="E69" s="21">
        <v>743.79899999999986</v>
      </c>
      <c r="F69" s="21">
        <v>781.46600000000001</v>
      </c>
      <c r="G69" s="21">
        <v>819.14</v>
      </c>
      <c r="H69" s="21">
        <v>856.8069999999999</v>
      </c>
      <c r="I69" s="21">
        <v>894.47399999999993</v>
      </c>
      <c r="J69" s="21">
        <v>932.14800000000002</v>
      </c>
      <c r="K69" s="21">
        <v>969.81499999999994</v>
      </c>
      <c r="L69" s="21">
        <v>1007.482</v>
      </c>
      <c r="M69" s="21">
        <v>1045.1559999999999</v>
      </c>
      <c r="N69" s="21">
        <v>1082.8230000000001</v>
      </c>
      <c r="O69" s="21">
        <v>1120.4969999999998</v>
      </c>
      <c r="P69" s="21">
        <v>1158.164</v>
      </c>
      <c r="T69" s="21"/>
      <c r="U69" s="21"/>
      <c r="V69" s="21"/>
      <c r="W69" s="21"/>
      <c r="X69" s="21"/>
      <c r="Y69" s="21"/>
      <c r="Z69" s="21"/>
      <c r="AA69" s="21"/>
      <c r="AB69" s="21"/>
    </row>
    <row r="70" spans="1:28" ht="16" customHeight="1" x14ac:dyDescent="0.25">
      <c r="A70" s="14" t="str">
        <f ca="1">IF(ISNA(VLOOKUP($B70,KeyAll,COLUMN(Key!$C$4),0))=TRUE,"No key!",VLOOKUP($B70,KeyAll,COLUMN(Key!$C$4),0))</f>
        <v>I-08G</v>
      </c>
      <c r="B70" s="14" t="s">
        <v>232</v>
      </c>
      <c r="C70" s="1" t="str">
        <f ca="1">IF(ISNA(VLOOKUP($B70,KeyAll,COLUMN(Key!$B$4),0))=TRUE,"No key!",VLOOKUP($B70,KeyAll,COLUMN(Key!$B$4),0))</f>
        <v>Loss on Disposal of Assets</v>
      </c>
      <c r="D70" s="21">
        <v>3329.6899999999996</v>
      </c>
      <c r="E70" s="21">
        <v>3329.6899999999996</v>
      </c>
      <c r="F70" s="21">
        <v>3440.654</v>
      </c>
      <c r="G70" s="21">
        <v>3551.625</v>
      </c>
      <c r="H70" s="21">
        <v>3662.5889999999999</v>
      </c>
      <c r="I70" s="21">
        <v>3773.5529999999999</v>
      </c>
      <c r="J70" s="21">
        <v>3884.5239999999994</v>
      </c>
      <c r="K70" s="21">
        <v>3995.4879999999998</v>
      </c>
      <c r="L70" s="21">
        <v>4106.4589999999998</v>
      </c>
      <c r="M70" s="21">
        <v>4217.4229999999998</v>
      </c>
      <c r="N70" s="21">
        <v>4328.3869999999997</v>
      </c>
      <c r="O70" s="21">
        <v>4439.3579999999993</v>
      </c>
      <c r="P70" s="21">
        <v>4550.3220000000001</v>
      </c>
      <c r="T70" s="21"/>
      <c r="U70" s="21"/>
      <c r="V70" s="21"/>
      <c r="W70" s="21"/>
      <c r="X70" s="21"/>
      <c r="Y70" s="21"/>
      <c r="Z70" s="21"/>
      <c r="AA70" s="21"/>
      <c r="AB70" s="21"/>
    </row>
    <row r="71" spans="1:28" ht="16" customHeight="1" x14ac:dyDescent="0.25">
      <c r="A71" s="14" t="str">
        <f ca="1">IF(ISNA(VLOOKUP($B71,KeyAll,COLUMN(Key!$C$4),0))=TRUE,"No key!",VLOOKUP($B71,KeyAll,COLUMN(Key!$C$4),0))</f>
        <v>I-09G</v>
      </c>
      <c r="B71" s="14" t="s">
        <v>201</v>
      </c>
      <c r="C71" s="1" t="str">
        <f ca="1">IF(ISNA(VLOOKUP($B71,KeyAll,COLUMN(Key!$B$4),0))=TRUE,"No key!",VLOOKUP($B71,KeyAll,COLUMN(Key!$B$4),0))</f>
        <v>Other Income</v>
      </c>
      <c r="D71" s="21">
        <v>1455.1529999999998</v>
      </c>
      <c r="E71" s="21">
        <v>1455.1529999999998</v>
      </c>
      <c r="F71" s="21">
        <v>1513.7289999999998</v>
      </c>
      <c r="G71" s="21">
        <v>1572.3119999999999</v>
      </c>
      <c r="H71" s="21">
        <v>1630.8949999999998</v>
      </c>
      <c r="I71" s="21">
        <v>1689.471</v>
      </c>
      <c r="J71" s="21">
        <v>1748.0539999999999</v>
      </c>
      <c r="K71" s="21">
        <v>1806.6299999999999</v>
      </c>
      <c r="L71" s="21">
        <v>1865.213</v>
      </c>
      <c r="M71" s="21">
        <v>1923.7889999999998</v>
      </c>
      <c r="N71" s="21">
        <v>1982.3719999999998</v>
      </c>
      <c r="O71" s="21">
        <v>2040.9479999999999</v>
      </c>
      <c r="P71" s="21">
        <v>2099.5309999999999</v>
      </c>
      <c r="T71" s="21"/>
      <c r="U71" s="21"/>
      <c r="V71" s="21"/>
      <c r="W71" s="21"/>
      <c r="X71" s="21"/>
      <c r="Y71" s="21"/>
      <c r="Z71" s="21"/>
      <c r="AA71" s="21"/>
      <c r="AB71" s="21"/>
    </row>
    <row r="72" spans="1:28" ht="16" customHeight="1" x14ac:dyDescent="0.25">
      <c r="A72" s="14" t="str">
        <f ca="1">IF(ISNA(VLOOKUP($B72,KeyAll,COLUMN(Key!$C$4),0))=TRUE,"No key!",VLOOKUP($B72,KeyAll,COLUMN(Key!$C$4),0))</f>
        <v>I-10G</v>
      </c>
      <c r="B72" s="14" t="s">
        <v>202</v>
      </c>
      <c r="C72" s="1" t="str">
        <f ca="1">IF(ISNA(VLOOKUP($B72,KeyAll,COLUMN(Key!$B$4),0))=TRUE,"No key!",VLOOKUP($B72,KeyAll,COLUMN(Key!$B$4),0))</f>
        <v>Dividends</v>
      </c>
      <c r="D72" s="21">
        <v>6640.3329999999996</v>
      </c>
      <c r="E72" s="21">
        <v>6640.3329999999996</v>
      </c>
      <c r="F72" s="21">
        <v>6901.9090000000006</v>
      </c>
      <c r="G72" s="21">
        <v>7163.4849999999988</v>
      </c>
      <c r="H72" s="21">
        <v>7425.0609999999988</v>
      </c>
      <c r="I72" s="21">
        <v>7686.6369999999997</v>
      </c>
      <c r="J72" s="21">
        <v>7948.2199999999993</v>
      </c>
      <c r="K72" s="21">
        <v>8209.7960000000003</v>
      </c>
      <c r="L72" s="21">
        <v>8471.3719999999994</v>
      </c>
      <c r="M72" s="21">
        <v>8732.9479999999985</v>
      </c>
      <c r="N72" s="21">
        <v>8994.5239999999994</v>
      </c>
      <c r="O72" s="21">
        <v>9256.0999999999985</v>
      </c>
      <c r="P72" s="21">
        <v>9517.6759999999995</v>
      </c>
      <c r="T72" s="21"/>
      <c r="U72" s="21"/>
      <c r="V72" s="21"/>
      <c r="W72" s="21"/>
      <c r="X72" s="21"/>
      <c r="Y72" s="21"/>
      <c r="Z72" s="21"/>
      <c r="AA72" s="21"/>
      <c r="AB72" s="21"/>
    </row>
    <row r="73" spans="1:28" ht="16" customHeight="1" x14ac:dyDescent="0.25">
      <c r="A73" s="14" t="str">
        <f ca="1">IF(ISNA(VLOOKUP($B73,KeyAll,COLUMN(Key!$C$4),0))=TRUE,"No key!",VLOOKUP($B73,KeyAll,COLUMN(Key!$C$4),0))</f>
        <v>B-06G</v>
      </c>
      <c r="B73" s="14" t="s">
        <v>145</v>
      </c>
      <c r="C73" s="1" t="str">
        <f ca="1">IF(ISNA(VLOOKUP($B73,KeyAll,COLUMN(Key!$B$4),0))=TRUE,"No key!",VLOOKUP($B73,KeyAll,COLUMN(Key!$B$4),0))</f>
        <v>B1 Bank Account</v>
      </c>
      <c r="D73" s="21">
        <v>12578.839</v>
      </c>
      <c r="E73" s="21">
        <v>12578.839</v>
      </c>
      <c r="F73" s="21">
        <v>13058.352999999999</v>
      </c>
      <c r="G73" s="21">
        <v>13537.867</v>
      </c>
      <c r="H73" s="21">
        <v>14017.381000000001</v>
      </c>
      <c r="I73" s="21">
        <v>14496.894999999999</v>
      </c>
      <c r="J73" s="21">
        <v>14976.408999999998</v>
      </c>
      <c r="K73" s="21">
        <v>15455.922999999999</v>
      </c>
      <c r="L73" s="21">
        <v>15935.436999999998</v>
      </c>
      <c r="M73" s="21">
        <v>16414.951000000001</v>
      </c>
      <c r="N73" s="21">
        <v>16894.471999999998</v>
      </c>
      <c r="O73" s="21">
        <v>17373.985999999997</v>
      </c>
      <c r="P73" s="21">
        <v>17853.5</v>
      </c>
      <c r="T73" s="21"/>
      <c r="U73" s="21"/>
      <c r="V73" s="21"/>
      <c r="W73" s="21"/>
      <c r="X73" s="21"/>
      <c r="Y73" s="21"/>
      <c r="Z73" s="21"/>
      <c r="AA73" s="21"/>
      <c r="AB73" s="21"/>
    </row>
    <row r="74" spans="1:28" ht="16" customHeight="1" x14ac:dyDescent="0.25">
      <c r="A74" s="14" t="str">
        <f ca="1">IF(ISNA(VLOOKUP($B74,KeyAll,COLUMN(Key!$C$4),0))=TRUE,"No key!",VLOOKUP($B74,KeyAll,COLUMN(Key!$C$4),0))</f>
        <v>B-06G</v>
      </c>
      <c r="B74" s="14" t="s">
        <v>146</v>
      </c>
      <c r="C74" s="1" t="str">
        <f ca="1">IF(ISNA(VLOOKUP($B74,KeyAll,COLUMN(Key!$B$4),0))=TRUE,"No key!",VLOOKUP($B74,KeyAll,COLUMN(Key!$B$4),0))</f>
        <v>B2 Bank Account</v>
      </c>
      <c r="D74" s="21">
        <v>9863.518</v>
      </c>
      <c r="E74" s="21">
        <v>9863.518</v>
      </c>
      <c r="F74" s="21">
        <v>10345.558999999999</v>
      </c>
      <c r="G74" s="21">
        <v>10827.607</v>
      </c>
      <c r="H74" s="21">
        <v>11309.647999999999</v>
      </c>
      <c r="I74" s="21">
        <v>11791.689</v>
      </c>
      <c r="J74" s="21">
        <v>12273.73</v>
      </c>
      <c r="K74" s="21">
        <v>12755.778</v>
      </c>
      <c r="L74" s="21">
        <v>13237.818999999998</v>
      </c>
      <c r="M74" s="21">
        <v>13719.859999999999</v>
      </c>
      <c r="N74" s="21">
        <v>14201.901</v>
      </c>
      <c r="O74" s="21">
        <v>14683.948999999999</v>
      </c>
      <c r="P74" s="21">
        <v>15165.99</v>
      </c>
      <c r="T74" s="21"/>
      <c r="U74" s="21"/>
      <c r="V74" s="21"/>
      <c r="W74" s="21"/>
      <c r="X74" s="21"/>
      <c r="Y74" s="21"/>
      <c r="Z74" s="21"/>
      <c r="AA74" s="21"/>
      <c r="AB74" s="21"/>
    </row>
    <row r="75" spans="1:28" ht="16" customHeight="1" x14ac:dyDescent="0.25">
      <c r="A75" s="14" t="str">
        <f ca="1">IF(ISNA(VLOOKUP($B75,KeyAll,COLUMN(Key!$C$4),0))=TRUE,"No key!",VLOOKUP($B75,KeyAll,COLUMN(Key!$C$4),0))</f>
        <v>B-06G</v>
      </c>
      <c r="B75" s="14" t="s">
        <v>147</v>
      </c>
      <c r="C75" s="1" t="str">
        <f ca="1">IF(ISNA(VLOOKUP($B75,KeyAll,COLUMN(Key!$B$4),0))=TRUE,"No key!",VLOOKUP($B75,KeyAll,COLUMN(Key!$B$4),0))</f>
        <v>B3 Bank Account</v>
      </c>
      <c r="D75" s="21">
        <v>20342.825999999997</v>
      </c>
      <c r="E75" s="21">
        <v>20342.825999999997</v>
      </c>
      <c r="F75" s="21">
        <v>20751.135999999999</v>
      </c>
      <c r="G75" s="21">
        <v>21159.438999999998</v>
      </c>
      <c r="H75" s="21">
        <v>21567.749</v>
      </c>
      <c r="I75" s="21">
        <v>21976.052</v>
      </c>
      <c r="J75" s="21">
        <v>22384.361999999997</v>
      </c>
      <c r="K75" s="21">
        <v>22792.671999999999</v>
      </c>
      <c r="L75" s="21">
        <v>23200.974999999999</v>
      </c>
      <c r="M75" s="21">
        <v>23609.285</v>
      </c>
      <c r="N75" s="21">
        <v>24017.587999999996</v>
      </c>
      <c r="O75" s="21">
        <v>24425.897999999997</v>
      </c>
      <c r="P75" s="21">
        <v>24834.200999999997</v>
      </c>
      <c r="T75" s="21"/>
      <c r="U75" s="21"/>
      <c r="V75" s="21"/>
      <c r="W75" s="21"/>
      <c r="X75" s="21"/>
      <c r="Y75" s="21"/>
      <c r="Z75" s="21"/>
      <c r="AA75" s="21"/>
      <c r="AB75" s="21"/>
    </row>
    <row r="76" spans="1:28" ht="16" customHeight="1" x14ac:dyDescent="0.25">
      <c r="A76" s="14" t="str">
        <f ca="1">IF(ISNA(VLOOKUP($B76,KeyAll,COLUMN(Key!$C$4),0))=TRUE,"No key!",VLOOKUP($B76,KeyAll,COLUMN(Key!$C$4),0))</f>
        <v>B-06G</v>
      </c>
      <c r="B76" s="14" t="s">
        <v>148</v>
      </c>
      <c r="C76" s="1" t="str">
        <f ca="1">IF(ISNA(VLOOKUP($B76,KeyAll,COLUMN(Key!$B$4),0))=TRUE,"No key!",VLOOKUP($B76,KeyAll,COLUMN(Key!$B$4),0))</f>
        <v>PC Petty Cash</v>
      </c>
      <c r="D76" s="21">
        <v>12201.846999999998</v>
      </c>
      <c r="E76" s="21">
        <v>12201.846999999998</v>
      </c>
      <c r="F76" s="21">
        <v>12470.717000000001</v>
      </c>
      <c r="G76" s="21">
        <v>12739.587</v>
      </c>
      <c r="H76" s="21">
        <v>13008.456999999999</v>
      </c>
      <c r="I76" s="21">
        <v>13277.326999999999</v>
      </c>
      <c r="J76" s="21">
        <v>13546.196999999998</v>
      </c>
      <c r="K76" s="21">
        <v>13815.067000000001</v>
      </c>
      <c r="L76" s="21">
        <v>14083.937</v>
      </c>
      <c r="M76" s="21">
        <v>14352.806999999997</v>
      </c>
      <c r="N76" s="21">
        <v>14621.669999999998</v>
      </c>
      <c r="O76" s="21">
        <v>14890.539999999999</v>
      </c>
      <c r="P76" s="21">
        <v>15159.409999999998</v>
      </c>
      <c r="T76" s="21"/>
      <c r="U76" s="21"/>
      <c r="V76" s="21"/>
      <c r="W76" s="21"/>
      <c r="X76" s="21"/>
      <c r="Y76" s="21"/>
      <c r="Z76" s="21"/>
      <c r="AA76" s="21"/>
      <c r="AB76" s="21"/>
    </row>
    <row r="77" spans="1:28" ht="16" customHeight="1" x14ac:dyDescent="0.25">
      <c r="A77" s="14" t="str">
        <f ca="1">IF(ISNA(VLOOKUP($B77,KeyAll,COLUMN(Key!$C$4),0))=TRUE,"No key!",VLOOKUP($B77,KeyAll,COLUMN(Key!$C$4),0))</f>
        <v>B-06G</v>
      </c>
      <c r="B77" s="14" t="s">
        <v>150</v>
      </c>
      <c r="C77" s="1" t="str">
        <f ca="1">IF(ISNA(VLOOKUP($B77,KeyAll,COLUMN(Key!$B$4),0))=TRUE,"No key!",VLOOKUP($B77,KeyAll,COLUMN(Key!$B$4),0))</f>
        <v>GL Journal Control</v>
      </c>
      <c r="D77" s="21">
        <v>2494.4919999999997</v>
      </c>
      <c r="E77" s="21">
        <v>2494.4919999999997</v>
      </c>
      <c r="F77" s="21">
        <v>2549.9039999999995</v>
      </c>
      <c r="G77" s="21">
        <v>2605.3159999999998</v>
      </c>
      <c r="H77" s="21">
        <v>2660.7279999999996</v>
      </c>
      <c r="I77" s="21">
        <v>2716.14</v>
      </c>
      <c r="J77" s="21">
        <v>2771.5520000000001</v>
      </c>
      <c r="K77" s="21">
        <v>2826.9569999999999</v>
      </c>
      <c r="L77" s="21">
        <v>2882.3689999999997</v>
      </c>
      <c r="M77" s="21">
        <v>2937.7809999999999</v>
      </c>
      <c r="N77" s="21">
        <v>2993.1929999999998</v>
      </c>
      <c r="O77" s="21">
        <v>3048.6049999999996</v>
      </c>
      <c r="P77" s="21">
        <v>3104.0099999999998</v>
      </c>
      <c r="T77" s="21"/>
      <c r="U77" s="21"/>
      <c r="V77" s="21"/>
      <c r="W77" s="21"/>
      <c r="X77" s="21"/>
      <c r="Y77" s="21"/>
      <c r="Z77" s="21"/>
      <c r="AA77" s="21"/>
      <c r="AB77" s="21"/>
    </row>
    <row r="78" spans="1:28" ht="16" customHeight="1" x14ac:dyDescent="0.25">
      <c r="A78" s="14" t="str">
        <f ca="1">IF(ISNA(VLOOKUP($B78,KeyAll,COLUMN(Key!$C$4),0))=TRUE,"No key!",VLOOKUP($B78,KeyAll,COLUMN(Key!$C$4),0))</f>
        <v>B-10G</v>
      </c>
      <c r="B78" s="14" t="s">
        <v>161</v>
      </c>
      <c r="C78" s="1" t="str">
        <f ca="1">IF(ISNA(VLOOKUP($B78,KeyAll,COLUMN(Key!$B$4),0))=TRUE,"No key!",VLOOKUP($B78,KeyAll,COLUMN(Key!$B$4),0))</f>
        <v>Inventory</v>
      </c>
      <c r="D78" s="21">
        <v>4540.2559999999994</v>
      </c>
      <c r="E78" s="21">
        <v>4540.2559999999994</v>
      </c>
      <c r="F78" s="21">
        <v>4768.0010000000002</v>
      </c>
      <c r="G78" s="21">
        <v>4995.7389999999996</v>
      </c>
      <c r="H78" s="21">
        <v>5223.4839999999995</v>
      </c>
      <c r="I78" s="21">
        <v>5451.2290000000003</v>
      </c>
      <c r="J78" s="21">
        <v>5678.9669999999996</v>
      </c>
      <c r="K78" s="21">
        <v>5906.7119999999995</v>
      </c>
      <c r="L78" s="21">
        <v>6134.45</v>
      </c>
      <c r="M78" s="21">
        <v>6362.1949999999997</v>
      </c>
      <c r="N78" s="21">
        <v>6589.9400000000005</v>
      </c>
      <c r="O78" s="21">
        <v>6817.6779999999999</v>
      </c>
      <c r="P78" s="21">
        <v>7045.4229999999989</v>
      </c>
      <c r="T78" s="21"/>
      <c r="U78" s="21"/>
      <c r="V78" s="21"/>
      <c r="W78" s="21"/>
      <c r="X78" s="21"/>
      <c r="Y78" s="21"/>
      <c r="Z78" s="21"/>
      <c r="AA78" s="21"/>
      <c r="AB78" s="21"/>
    </row>
    <row r="79" spans="1:28" ht="16" customHeight="1" x14ac:dyDescent="0.25">
      <c r="A79" s="14" t="str">
        <f ca="1">IF(ISNA(VLOOKUP($B79,KeyAll,COLUMN(Key!$C$4),0))=TRUE,"No key!",VLOOKUP($B79,KeyAll,COLUMN(Key!$C$4),0))</f>
        <v>B-08G</v>
      </c>
      <c r="B79" s="14" t="s">
        <v>156</v>
      </c>
      <c r="C79" s="1" t="str">
        <f ca="1">IF(ISNA(VLOOKUP($B79,KeyAll,COLUMN(Key!$B$4),0))=TRUE,"No key!",VLOOKUP($B79,KeyAll,COLUMN(Key!$B$4),0))</f>
        <v>Trade Debtors</v>
      </c>
      <c r="D79" s="21">
        <v>4220.7060000000001</v>
      </c>
      <c r="E79" s="21">
        <v>4220.7060000000001</v>
      </c>
      <c r="F79" s="21">
        <v>4336.9339999999993</v>
      </c>
      <c r="G79" s="21">
        <v>4453.1689999999999</v>
      </c>
      <c r="H79" s="21">
        <v>4569.4039999999995</v>
      </c>
      <c r="I79" s="21">
        <v>4685.6390000000001</v>
      </c>
      <c r="J79" s="21">
        <v>4801.8739999999998</v>
      </c>
      <c r="K79" s="21">
        <v>4918.1089999999995</v>
      </c>
      <c r="L79" s="21">
        <v>5034.3440000000001</v>
      </c>
      <c r="M79" s="21">
        <v>5150.5789999999997</v>
      </c>
      <c r="N79" s="21">
        <v>5266.8140000000003</v>
      </c>
      <c r="O79" s="21">
        <v>5383.0489999999991</v>
      </c>
      <c r="P79" s="21">
        <v>5499.2769999999991</v>
      </c>
      <c r="T79" s="21"/>
      <c r="U79" s="21"/>
      <c r="V79" s="21"/>
      <c r="W79" s="21"/>
      <c r="X79" s="21"/>
      <c r="Y79" s="21"/>
      <c r="Z79" s="21"/>
      <c r="AA79" s="21"/>
      <c r="AB79" s="21"/>
    </row>
    <row r="80" spans="1:28" ht="16" customHeight="1" x14ac:dyDescent="0.25">
      <c r="A80" s="14" t="str">
        <f ca="1">IF(ISNA(VLOOKUP($B80,KeyAll,COLUMN(Key!$C$4),0))=TRUE,"No key!",VLOOKUP($B80,KeyAll,COLUMN(Key!$C$4),0))</f>
        <v>B-12G</v>
      </c>
      <c r="B80" s="14" t="s">
        <v>163</v>
      </c>
      <c r="C80" s="1" t="str">
        <f ca="1">IF(ISNA(VLOOKUP($B80,KeyAll,COLUMN(Key!$B$4),0))=TRUE,"No key!",VLOOKUP($B80,KeyAll,COLUMN(Key!$B$4),0))</f>
        <v>Trade Creditors</v>
      </c>
      <c r="D80" s="21">
        <v>16215.723999999998</v>
      </c>
      <c r="E80" s="21">
        <v>16215.723999999998</v>
      </c>
      <c r="F80" s="21">
        <v>16633.770999999997</v>
      </c>
      <c r="G80" s="21">
        <v>17051.810999999998</v>
      </c>
      <c r="H80" s="21">
        <v>17469.857999999997</v>
      </c>
      <c r="I80" s="21">
        <v>17887.904999999999</v>
      </c>
      <c r="J80" s="21">
        <v>18305.951999999997</v>
      </c>
      <c r="K80" s="21">
        <v>18723.999</v>
      </c>
      <c r="L80" s="21">
        <v>19142.045999999998</v>
      </c>
      <c r="M80" s="21">
        <v>19560.093000000001</v>
      </c>
      <c r="N80" s="21">
        <v>19978.132999999998</v>
      </c>
      <c r="O80" s="21">
        <v>20396.18</v>
      </c>
      <c r="P80" s="21">
        <v>20814.226999999999</v>
      </c>
      <c r="T80" s="21"/>
      <c r="U80" s="21"/>
      <c r="V80" s="21"/>
      <c r="W80" s="21"/>
      <c r="X80" s="21"/>
      <c r="Y80" s="21"/>
      <c r="Z80" s="21"/>
      <c r="AA80" s="21"/>
      <c r="AB80" s="21"/>
    </row>
    <row r="81" spans="1:28" ht="16" customHeight="1" x14ac:dyDescent="0.25">
      <c r="A81" s="14" t="str">
        <f ca="1">IF(ISNA(VLOOKUP($B81,KeyAll,COLUMN(Key!$C$4),0))=TRUE,"No key!",VLOOKUP($B81,KeyAll,COLUMN(Key!$C$4),0))</f>
        <v>B-21G</v>
      </c>
      <c r="B81" s="14" t="s">
        <v>183</v>
      </c>
      <c r="C81" s="1" t="str">
        <f ca="1">IF(ISNA(VLOOKUP($B81,KeyAll,COLUMN(Key!$B$4),0))=TRUE,"No key!",VLOOKUP($B81,KeyAll,COLUMN(Key!$B$4),0))</f>
        <v>Retained Earnings</v>
      </c>
      <c r="D81" s="21">
        <v>-579913.39699999988</v>
      </c>
      <c r="E81" s="21">
        <v>-579913.39699999988</v>
      </c>
      <c r="F81" s="21">
        <v>-605400.86599999992</v>
      </c>
      <c r="G81" s="21">
        <v>-630888.37</v>
      </c>
      <c r="H81" s="21">
        <v>-656375.86</v>
      </c>
      <c r="I81" s="21">
        <v>-681863.27299999993</v>
      </c>
      <c r="J81" s="21">
        <v>-707350.777</v>
      </c>
      <c r="K81" s="21">
        <v>-732838.26</v>
      </c>
      <c r="L81" s="21">
        <v>-758325.70799999987</v>
      </c>
      <c r="M81" s="21">
        <v>-783813.19099999988</v>
      </c>
      <c r="N81" s="21">
        <v>-809300.66</v>
      </c>
      <c r="O81" s="21">
        <v>-834788.14999999991</v>
      </c>
      <c r="P81" s="21">
        <v>-860275.58400000003</v>
      </c>
      <c r="T81" s="21"/>
      <c r="U81" s="21"/>
      <c r="V81" s="21"/>
      <c r="W81" s="21"/>
      <c r="X81" s="21"/>
      <c r="Y81" s="21"/>
      <c r="Z81" s="21"/>
      <c r="AA81" s="21"/>
      <c r="AB81" s="21"/>
    </row>
  </sheetData>
  <sheetProtection algorithmName="SHA-512" hashValue="g41ELjTuoun03tL/RME8I8mbp/LwGWGFKk28zqX2na5rId4csXWo6itKshEIsUGCofntk2/IZnAWdXT4BNz3SQ==" saltValue="1jtLPzkwFCfEeEGDk4pd/A==" spinCount="100000" sheet="1" objects="1" scenarios="1"/>
  <conditionalFormatting sqref="A4">
    <cfRule type="expression" dxfId="4" priority="1" stopIfTrue="1">
      <formula>COUNTIF(PYClass,"No key!")&gt;0</formula>
    </cfRule>
  </conditionalFormatting>
  <conditionalFormatting sqref="D3:P3">
    <cfRule type="expression" dxfId="3" priority="2" stopIfTrue="1">
      <formula>ROUND(D3,2)&lt;&gt;0</formula>
    </cfRule>
  </conditionalFormatting>
  <pageMargins left="0.51181102362204722" right="0.51181102362204722" top="0.55118110236220474" bottom="0.55118110236220474" header="0.39370078740157483" footer="0.39370078740157483"/>
  <pageSetup paperSize="9" scale="55" fitToHeight="0" orientation="landscape" r:id="rId1"/>
  <headerFooter>
    <oddFooter>&amp;C&amp;9Page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82"/>
  <sheetViews>
    <sheetView zoomScale="95" zoomScaleNormal="95" workbookViewId="0">
      <pane ySplit="5" topLeftCell="A6" activePane="bottomLeft" state="frozen"/>
      <selection pane="bottomLeft" activeCell="I15" sqref="I15"/>
    </sheetView>
  </sheetViews>
  <sheetFormatPr defaultColWidth="9.08984375" defaultRowHeight="16" customHeight="1" x14ac:dyDescent="0.25"/>
  <cols>
    <col min="1" max="1" width="16.6328125" style="1" customWidth="1"/>
    <col min="2" max="2" width="16.6328125" style="21" customWidth="1"/>
    <col min="3" max="3" width="16.6328125" style="100" customWidth="1"/>
    <col min="4" max="15" width="15.6328125" style="1" customWidth="1"/>
    <col min="16" max="16384" width="9.08984375" style="1"/>
  </cols>
  <sheetData>
    <row r="1" spans="1:5" ht="16" customHeight="1" x14ac:dyDescent="0.3">
      <c r="A1" s="106" t="s">
        <v>307</v>
      </c>
      <c r="B1" s="53"/>
    </row>
    <row r="2" spans="1:5" ht="16" customHeight="1" x14ac:dyDescent="0.25">
      <c r="A2" s="4" t="s">
        <v>92</v>
      </c>
      <c r="B2" s="68"/>
      <c r="E2" s="101" t="s">
        <v>94</v>
      </c>
    </row>
    <row r="3" spans="1:5" ht="16" customHeight="1" x14ac:dyDescent="0.25">
      <c r="A3" s="5" t="s">
        <v>36</v>
      </c>
      <c r="B3" s="102"/>
      <c r="E3" s="18" t="s">
        <v>93</v>
      </c>
    </row>
    <row r="4" spans="1:5" ht="16" customHeight="1" x14ac:dyDescent="0.25">
      <c r="A4" s="5"/>
      <c r="B4" s="21">
        <v>0</v>
      </c>
      <c r="C4" s="100" t="s">
        <v>381</v>
      </c>
    </row>
    <row r="5" spans="1:5" s="32" customFormat="1" ht="18" customHeight="1" x14ac:dyDescent="0.25">
      <c r="A5" s="17" t="s">
        <v>20</v>
      </c>
      <c r="B5" s="103" t="s">
        <v>90</v>
      </c>
      <c r="C5" s="104" t="s">
        <v>91</v>
      </c>
    </row>
    <row r="6" spans="1:5" ht="16" customHeight="1" x14ac:dyDescent="0.25">
      <c r="A6" s="1" t="s">
        <v>95</v>
      </c>
      <c r="B6" s="21">
        <v>0</v>
      </c>
      <c r="C6" s="105" t="s">
        <v>381</v>
      </c>
    </row>
    <row r="7" spans="1:5" ht="16" customHeight="1" x14ac:dyDescent="0.25">
      <c r="A7" s="1" t="s">
        <v>97</v>
      </c>
      <c r="B7" s="21">
        <v>0</v>
      </c>
      <c r="C7" s="105" t="s">
        <v>381</v>
      </c>
    </row>
    <row r="8" spans="1:5" ht="16" customHeight="1" x14ac:dyDescent="0.25">
      <c r="A8" s="1" t="s">
        <v>99</v>
      </c>
      <c r="B8" s="21">
        <v>0</v>
      </c>
      <c r="C8" s="105" t="s">
        <v>381</v>
      </c>
    </row>
    <row r="9" spans="1:5" ht="16" customHeight="1" x14ac:dyDescent="0.25">
      <c r="A9" s="1" t="s">
        <v>101</v>
      </c>
      <c r="B9" s="21">
        <v>0</v>
      </c>
      <c r="C9" s="105" t="s">
        <v>381</v>
      </c>
    </row>
    <row r="10" spans="1:5" ht="16" customHeight="1" x14ac:dyDescent="0.25">
      <c r="A10" s="1" t="s">
        <v>103</v>
      </c>
      <c r="B10" s="21">
        <v>0</v>
      </c>
      <c r="C10" s="105" t="s">
        <v>381</v>
      </c>
    </row>
    <row r="11" spans="1:5" ht="16" customHeight="1" x14ac:dyDescent="0.25">
      <c r="A11" s="1" t="s">
        <v>105</v>
      </c>
      <c r="B11" s="21">
        <v>0</v>
      </c>
      <c r="C11" s="105" t="s">
        <v>381</v>
      </c>
    </row>
    <row r="12" spans="1:5" ht="16" customHeight="1" x14ac:dyDescent="0.25">
      <c r="A12" s="1" t="s">
        <v>107</v>
      </c>
      <c r="B12" s="21">
        <v>0</v>
      </c>
      <c r="C12" s="105" t="s">
        <v>381</v>
      </c>
    </row>
    <row r="13" spans="1:5" ht="16" customHeight="1" x14ac:dyDescent="0.25">
      <c r="A13" s="1" t="s">
        <v>109</v>
      </c>
      <c r="B13" s="21">
        <v>0</v>
      </c>
      <c r="C13" s="105" t="s">
        <v>381</v>
      </c>
    </row>
    <row r="14" spans="1:5" ht="16" customHeight="1" x14ac:dyDescent="0.25">
      <c r="A14" s="1" t="s">
        <v>111</v>
      </c>
      <c r="B14" s="21">
        <v>0</v>
      </c>
      <c r="C14" s="105" t="s">
        <v>381</v>
      </c>
    </row>
    <row r="15" spans="1:5" ht="16" customHeight="1" x14ac:dyDescent="0.25">
      <c r="A15" s="1" t="s">
        <v>113</v>
      </c>
      <c r="B15" s="21">
        <v>0</v>
      </c>
      <c r="C15" s="105" t="s">
        <v>381</v>
      </c>
    </row>
    <row r="16" spans="1:5" ht="16" customHeight="1" x14ac:dyDescent="0.25">
      <c r="A16" s="1" t="s">
        <v>115</v>
      </c>
      <c r="B16" s="21">
        <v>0</v>
      </c>
      <c r="C16" s="105" t="s">
        <v>381</v>
      </c>
    </row>
    <row r="17" spans="1:3" ht="16" customHeight="1" x14ac:dyDescent="0.25">
      <c r="A17" s="1" t="s">
        <v>117</v>
      </c>
      <c r="B17" s="21">
        <v>0</v>
      </c>
      <c r="C17" s="105" t="s">
        <v>381</v>
      </c>
    </row>
    <row r="18" spans="1:3" ht="16" customHeight="1" x14ac:dyDescent="0.25">
      <c r="A18" s="1" t="s">
        <v>130</v>
      </c>
      <c r="B18" s="21">
        <v>0</v>
      </c>
      <c r="C18" s="105" t="s">
        <v>381</v>
      </c>
    </row>
    <row r="19" spans="1:3" ht="16" customHeight="1" x14ac:dyDescent="0.25">
      <c r="A19" s="1" t="s">
        <v>132</v>
      </c>
      <c r="B19" s="21">
        <v>0</v>
      </c>
      <c r="C19" s="105" t="s">
        <v>381</v>
      </c>
    </row>
    <row r="20" spans="1:3" ht="16" customHeight="1" x14ac:dyDescent="0.25">
      <c r="A20" s="1" t="s">
        <v>134</v>
      </c>
      <c r="B20" s="21">
        <v>0</v>
      </c>
      <c r="C20" s="105" t="s">
        <v>381</v>
      </c>
    </row>
    <row r="21" spans="1:3" ht="16" customHeight="1" x14ac:dyDescent="0.25">
      <c r="A21" s="1" t="s">
        <v>136</v>
      </c>
      <c r="B21" s="21">
        <v>0</v>
      </c>
      <c r="C21" s="105" t="s">
        <v>381</v>
      </c>
    </row>
    <row r="22" spans="1:3" ht="16" customHeight="1" x14ac:dyDescent="0.25">
      <c r="A22" s="1" t="s">
        <v>138</v>
      </c>
      <c r="B22" s="21">
        <v>0</v>
      </c>
      <c r="C22" s="105" t="s">
        <v>381</v>
      </c>
    </row>
    <row r="23" spans="1:3" ht="16" customHeight="1" x14ac:dyDescent="0.25">
      <c r="A23" s="1" t="s">
        <v>140</v>
      </c>
      <c r="B23" s="21">
        <v>0</v>
      </c>
      <c r="C23" s="105" t="s">
        <v>381</v>
      </c>
    </row>
    <row r="24" spans="1:3" ht="16" customHeight="1" x14ac:dyDescent="0.25">
      <c r="A24" s="1" t="s">
        <v>142</v>
      </c>
      <c r="B24" s="21">
        <v>0</v>
      </c>
      <c r="C24" s="105" t="s">
        <v>381</v>
      </c>
    </row>
    <row r="25" spans="1:3" ht="16" customHeight="1" x14ac:dyDescent="0.25">
      <c r="A25" s="1" t="s">
        <v>155</v>
      </c>
      <c r="B25" s="21">
        <v>0</v>
      </c>
      <c r="C25" s="105" t="s">
        <v>381</v>
      </c>
    </row>
    <row r="26" spans="1:3" ht="16" customHeight="1" x14ac:dyDescent="0.25">
      <c r="A26" s="1" t="s">
        <v>152</v>
      </c>
      <c r="B26" s="21">
        <v>0</v>
      </c>
      <c r="C26" s="105" t="s">
        <v>381</v>
      </c>
    </row>
    <row r="27" spans="1:3" ht="16" customHeight="1" x14ac:dyDescent="0.25">
      <c r="A27" s="1" t="s">
        <v>154</v>
      </c>
      <c r="B27" s="21">
        <v>0</v>
      </c>
      <c r="C27" s="105" t="s">
        <v>381</v>
      </c>
    </row>
    <row r="28" spans="1:3" ht="16" customHeight="1" x14ac:dyDescent="0.25">
      <c r="A28" s="1" t="s">
        <v>157</v>
      </c>
      <c r="B28" s="21">
        <v>0</v>
      </c>
      <c r="C28" s="105" t="s">
        <v>381</v>
      </c>
    </row>
    <row r="29" spans="1:3" ht="16" customHeight="1" x14ac:dyDescent="0.25">
      <c r="A29" s="1" t="s">
        <v>159</v>
      </c>
      <c r="B29" s="21">
        <v>0</v>
      </c>
      <c r="C29" s="105" t="s">
        <v>381</v>
      </c>
    </row>
    <row r="30" spans="1:3" ht="16" customHeight="1" x14ac:dyDescent="0.25">
      <c r="A30" s="1" t="s">
        <v>164</v>
      </c>
      <c r="B30" s="21">
        <v>0</v>
      </c>
      <c r="C30" s="105" t="s">
        <v>381</v>
      </c>
    </row>
    <row r="31" spans="1:3" ht="16" customHeight="1" x14ac:dyDescent="0.25">
      <c r="A31" s="1" t="s">
        <v>166</v>
      </c>
      <c r="B31" s="21">
        <v>0</v>
      </c>
      <c r="C31" s="105" t="s">
        <v>381</v>
      </c>
    </row>
    <row r="32" spans="1:3" ht="16" customHeight="1" x14ac:dyDescent="0.25">
      <c r="A32" s="1" t="s">
        <v>168</v>
      </c>
      <c r="B32" s="21">
        <v>0</v>
      </c>
      <c r="C32" s="105" t="s">
        <v>381</v>
      </c>
    </row>
    <row r="33" spans="1:3" ht="16" customHeight="1" x14ac:dyDescent="0.25">
      <c r="A33" s="1" t="s">
        <v>169</v>
      </c>
      <c r="B33" s="21">
        <v>0</v>
      </c>
      <c r="C33" s="105" t="s">
        <v>381</v>
      </c>
    </row>
    <row r="34" spans="1:3" ht="16" customHeight="1" x14ac:dyDescent="0.25">
      <c r="A34" s="1" t="s">
        <v>171</v>
      </c>
      <c r="B34" s="21">
        <v>0</v>
      </c>
      <c r="C34" s="105" t="s">
        <v>381</v>
      </c>
    </row>
    <row r="35" spans="1:3" ht="16" customHeight="1" x14ac:dyDescent="0.25">
      <c r="A35" s="1" t="s">
        <v>174</v>
      </c>
      <c r="B35" s="21">
        <v>0</v>
      </c>
      <c r="C35" s="105" t="s">
        <v>381</v>
      </c>
    </row>
    <row r="36" spans="1:3" ht="16" customHeight="1" x14ac:dyDescent="0.25">
      <c r="A36" s="1" t="s">
        <v>176</v>
      </c>
      <c r="B36" s="21">
        <v>0</v>
      </c>
      <c r="C36" s="105" t="s">
        <v>381</v>
      </c>
    </row>
    <row r="37" spans="1:3" ht="16" customHeight="1" x14ac:dyDescent="0.25">
      <c r="A37" s="1" t="s">
        <v>178</v>
      </c>
      <c r="B37" s="21">
        <v>0</v>
      </c>
      <c r="C37" s="105" t="s">
        <v>381</v>
      </c>
    </row>
    <row r="38" spans="1:3" ht="16" customHeight="1" x14ac:dyDescent="0.25">
      <c r="A38" s="1" t="s">
        <v>180</v>
      </c>
      <c r="B38" s="21">
        <v>0</v>
      </c>
      <c r="C38" s="105" t="s">
        <v>381</v>
      </c>
    </row>
    <row r="39" spans="1:3" ht="16" customHeight="1" x14ac:dyDescent="0.25">
      <c r="A39" s="1" t="s">
        <v>181</v>
      </c>
      <c r="B39" s="21">
        <v>0</v>
      </c>
      <c r="C39" s="105" t="s">
        <v>381</v>
      </c>
    </row>
    <row r="40" spans="1:3" ht="16" customHeight="1" x14ac:dyDescent="0.25">
      <c r="A40" s="1" t="s">
        <v>184</v>
      </c>
      <c r="B40" s="21">
        <v>0</v>
      </c>
      <c r="C40" s="105" t="s">
        <v>381</v>
      </c>
    </row>
    <row r="41" spans="1:3" ht="16" customHeight="1" x14ac:dyDescent="0.25">
      <c r="A41" s="1" t="s">
        <v>186</v>
      </c>
      <c r="B41" s="21">
        <v>0</v>
      </c>
      <c r="C41" s="105" t="s">
        <v>381</v>
      </c>
    </row>
    <row r="42" spans="1:3" ht="16" customHeight="1" x14ac:dyDescent="0.25">
      <c r="A42" s="1" t="s">
        <v>188</v>
      </c>
      <c r="B42" s="21">
        <v>0</v>
      </c>
      <c r="C42" s="105" t="s">
        <v>381</v>
      </c>
    </row>
    <row r="43" spans="1:3" ht="16" customHeight="1" x14ac:dyDescent="0.25">
      <c r="A43" s="1" t="s">
        <v>190</v>
      </c>
      <c r="B43" s="21">
        <v>0</v>
      </c>
      <c r="C43" s="105" t="s">
        <v>381</v>
      </c>
    </row>
    <row r="44" spans="1:3" ht="16" customHeight="1" x14ac:dyDescent="0.25">
      <c r="A44" s="1" t="s">
        <v>192</v>
      </c>
      <c r="B44" s="21">
        <v>0</v>
      </c>
      <c r="C44" s="105" t="s">
        <v>381</v>
      </c>
    </row>
    <row r="45" spans="1:3" ht="16" customHeight="1" x14ac:dyDescent="0.25">
      <c r="A45" s="1" t="s">
        <v>205</v>
      </c>
      <c r="B45" s="21">
        <v>0</v>
      </c>
      <c r="C45" s="105" t="s">
        <v>381</v>
      </c>
    </row>
    <row r="46" spans="1:3" ht="16" customHeight="1" x14ac:dyDescent="0.25">
      <c r="A46" s="1" t="s">
        <v>206</v>
      </c>
      <c r="B46" s="21">
        <v>0</v>
      </c>
      <c r="C46" s="105" t="s">
        <v>381</v>
      </c>
    </row>
    <row r="47" spans="1:3" ht="16" customHeight="1" x14ac:dyDescent="0.25">
      <c r="A47" s="1" t="s">
        <v>207</v>
      </c>
      <c r="B47" s="21">
        <v>0</v>
      </c>
      <c r="C47" s="105" t="s">
        <v>381</v>
      </c>
    </row>
    <row r="48" spans="1:3" ht="16" customHeight="1" x14ac:dyDescent="0.25">
      <c r="A48" s="1" t="s">
        <v>208</v>
      </c>
      <c r="B48" s="21">
        <v>0</v>
      </c>
      <c r="C48" s="105" t="s">
        <v>381</v>
      </c>
    </row>
    <row r="49" spans="1:3" ht="16" customHeight="1" x14ac:dyDescent="0.25">
      <c r="A49" s="1" t="s">
        <v>209</v>
      </c>
      <c r="B49" s="21">
        <v>0</v>
      </c>
      <c r="C49" s="105" t="s">
        <v>381</v>
      </c>
    </row>
    <row r="50" spans="1:3" ht="16" customHeight="1" x14ac:dyDescent="0.25">
      <c r="A50" s="1" t="s">
        <v>210</v>
      </c>
      <c r="B50" s="21">
        <v>0</v>
      </c>
      <c r="C50" s="105" t="s">
        <v>381</v>
      </c>
    </row>
    <row r="51" spans="1:3" ht="16" customHeight="1" x14ac:dyDescent="0.25">
      <c r="A51" s="1" t="s">
        <v>211</v>
      </c>
      <c r="B51" s="21">
        <v>0</v>
      </c>
      <c r="C51" s="105" t="s">
        <v>381</v>
      </c>
    </row>
    <row r="52" spans="1:3" ht="16" customHeight="1" x14ac:dyDescent="0.25">
      <c r="A52" s="1" t="s">
        <v>212</v>
      </c>
      <c r="B52" s="21">
        <v>0</v>
      </c>
      <c r="C52" s="105" t="s">
        <v>381</v>
      </c>
    </row>
    <row r="53" spans="1:3" ht="16" customHeight="1" x14ac:dyDescent="0.25">
      <c r="A53" s="1" t="s">
        <v>213</v>
      </c>
      <c r="B53" s="21">
        <v>0</v>
      </c>
      <c r="C53" s="105" t="s">
        <v>381</v>
      </c>
    </row>
    <row r="54" spans="1:3" ht="16" customHeight="1" x14ac:dyDescent="0.25">
      <c r="A54" s="1" t="s">
        <v>214</v>
      </c>
      <c r="B54" s="21">
        <v>0</v>
      </c>
      <c r="C54" s="105" t="s">
        <v>381</v>
      </c>
    </row>
    <row r="55" spans="1:3" ht="16" customHeight="1" x14ac:dyDescent="0.25">
      <c r="A55" s="1" t="s">
        <v>215</v>
      </c>
      <c r="B55" s="21">
        <v>0</v>
      </c>
      <c r="C55" s="105" t="s">
        <v>381</v>
      </c>
    </row>
    <row r="56" spans="1:3" ht="16" customHeight="1" x14ac:dyDescent="0.25">
      <c r="A56" s="1" t="s">
        <v>216</v>
      </c>
      <c r="B56" s="21">
        <v>0</v>
      </c>
      <c r="C56" s="105" t="s">
        <v>381</v>
      </c>
    </row>
    <row r="57" spans="1:3" ht="16" customHeight="1" x14ac:dyDescent="0.25">
      <c r="A57" s="1" t="s">
        <v>217</v>
      </c>
      <c r="B57" s="21">
        <v>0</v>
      </c>
      <c r="C57" s="105" t="s">
        <v>381</v>
      </c>
    </row>
    <row r="58" spans="1:3" ht="16" customHeight="1" x14ac:dyDescent="0.25">
      <c r="A58" s="1" t="s">
        <v>218</v>
      </c>
      <c r="B58" s="21">
        <v>0</v>
      </c>
      <c r="C58" s="105" t="s">
        <v>381</v>
      </c>
    </row>
    <row r="59" spans="1:3" ht="16" customHeight="1" x14ac:dyDescent="0.25">
      <c r="A59" s="1" t="s">
        <v>219</v>
      </c>
      <c r="B59" s="21">
        <v>0</v>
      </c>
      <c r="C59" s="105" t="s">
        <v>381</v>
      </c>
    </row>
    <row r="60" spans="1:3" ht="16" customHeight="1" x14ac:dyDescent="0.25">
      <c r="A60" s="1" t="s">
        <v>220</v>
      </c>
      <c r="B60" s="21">
        <v>0</v>
      </c>
      <c r="C60" s="105" t="s">
        <v>381</v>
      </c>
    </row>
    <row r="61" spans="1:3" ht="16" customHeight="1" x14ac:dyDescent="0.25">
      <c r="A61" s="1" t="s">
        <v>221</v>
      </c>
      <c r="B61" s="21">
        <v>0</v>
      </c>
      <c r="C61" s="105" t="s">
        <v>381</v>
      </c>
    </row>
    <row r="62" spans="1:3" ht="16" customHeight="1" x14ac:dyDescent="0.25">
      <c r="A62" s="1" t="s">
        <v>222</v>
      </c>
      <c r="B62" s="21">
        <v>0</v>
      </c>
      <c r="C62" s="105" t="s">
        <v>381</v>
      </c>
    </row>
    <row r="63" spans="1:3" ht="16" customHeight="1" x14ac:dyDescent="0.25">
      <c r="A63" s="1" t="s">
        <v>223</v>
      </c>
      <c r="B63" s="21">
        <v>0</v>
      </c>
      <c r="C63" s="105" t="s">
        <v>381</v>
      </c>
    </row>
    <row r="64" spans="1:3" ht="16" customHeight="1" x14ac:dyDescent="0.25">
      <c r="A64" s="1" t="s">
        <v>225</v>
      </c>
      <c r="B64" s="21">
        <v>0</v>
      </c>
      <c r="C64" s="105" t="s">
        <v>381</v>
      </c>
    </row>
    <row r="65" spans="1:3" ht="16" customHeight="1" x14ac:dyDescent="0.25">
      <c r="A65" s="1" t="s">
        <v>227</v>
      </c>
      <c r="B65" s="21">
        <v>0</v>
      </c>
      <c r="C65" s="105" t="s">
        <v>381</v>
      </c>
    </row>
    <row r="66" spans="1:3" ht="16" customHeight="1" x14ac:dyDescent="0.25">
      <c r="A66" s="1" t="s">
        <v>228</v>
      </c>
      <c r="B66" s="21">
        <v>0</v>
      </c>
      <c r="C66" s="105" t="s">
        <v>381</v>
      </c>
    </row>
    <row r="67" spans="1:3" ht="16" customHeight="1" x14ac:dyDescent="0.25">
      <c r="A67" s="1" t="s">
        <v>197</v>
      </c>
      <c r="B67" s="21">
        <v>0</v>
      </c>
      <c r="C67" s="105" t="s">
        <v>381</v>
      </c>
    </row>
    <row r="68" spans="1:3" ht="16" customHeight="1" x14ac:dyDescent="0.25">
      <c r="A68" s="1" t="s">
        <v>198</v>
      </c>
      <c r="B68" s="21">
        <v>0</v>
      </c>
      <c r="C68" s="105" t="s">
        <v>381</v>
      </c>
    </row>
    <row r="69" spans="1:3" ht="16" customHeight="1" x14ac:dyDescent="0.25">
      <c r="A69" s="1" t="s">
        <v>200</v>
      </c>
      <c r="B69" s="21">
        <v>0</v>
      </c>
      <c r="C69" s="105" t="s">
        <v>381</v>
      </c>
    </row>
    <row r="70" spans="1:3" ht="16" customHeight="1" x14ac:dyDescent="0.25">
      <c r="A70" s="1" t="s">
        <v>230</v>
      </c>
      <c r="B70" s="21">
        <v>0</v>
      </c>
      <c r="C70" s="105" t="s">
        <v>381</v>
      </c>
    </row>
    <row r="71" spans="1:3" ht="16" customHeight="1" x14ac:dyDescent="0.25">
      <c r="A71" s="1" t="s">
        <v>232</v>
      </c>
      <c r="B71" s="21">
        <v>0</v>
      </c>
      <c r="C71" s="105" t="s">
        <v>381</v>
      </c>
    </row>
    <row r="72" spans="1:3" ht="16" customHeight="1" x14ac:dyDescent="0.25">
      <c r="A72" s="1" t="s">
        <v>201</v>
      </c>
      <c r="B72" s="21">
        <v>0</v>
      </c>
      <c r="C72" s="105" t="s">
        <v>381</v>
      </c>
    </row>
    <row r="73" spans="1:3" ht="16" customHeight="1" x14ac:dyDescent="0.25">
      <c r="A73" s="1" t="s">
        <v>202</v>
      </c>
      <c r="B73" s="21">
        <v>0</v>
      </c>
      <c r="C73" s="105" t="s">
        <v>381</v>
      </c>
    </row>
    <row r="74" spans="1:3" ht="16" customHeight="1" x14ac:dyDescent="0.25">
      <c r="A74" s="1" t="s">
        <v>145</v>
      </c>
      <c r="B74" s="21">
        <v>0</v>
      </c>
      <c r="C74" s="105" t="s">
        <v>381</v>
      </c>
    </row>
    <row r="75" spans="1:3" ht="16" customHeight="1" x14ac:dyDescent="0.25">
      <c r="A75" s="1" t="s">
        <v>146</v>
      </c>
      <c r="B75" s="21">
        <v>0</v>
      </c>
      <c r="C75" s="105" t="s">
        <v>381</v>
      </c>
    </row>
    <row r="76" spans="1:3" ht="16" customHeight="1" x14ac:dyDescent="0.25">
      <c r="A76" s="1" t="s">
        <v>147</v>
      </c>
      <c r="B76" s="21">
        <v>0</v>
      </c>
      <c r="C76" s="105" t="s">
        <v>381</v>
      </c>
    </row>
    <row r="77" spans="1:3" ht="16" customHeight="1" x14ac:dyDescent="0.25">
      <c r="A77" s="1" t="s">
        <v>148</v>
      </c>
      <c r="B77" s="21">
        <v>0</v>
      </c>
      <c r="C77" s="105" t="s">
        <v>381</v>
      </c>
    </row>
    <row r="78" spans="1:3" ht="16" customHeight="1" x14ac:dyDescent="0.25">
      <c r="A78" s="1" t="s">
        <v>150</v>
      </c>
      <c r="B78" s="21">
        <v>0</v>
      </c>
      <c r="C78" s="105" t="s">
        <v>381</v>
      </c>
    </row>
    <row r="79" spans="1:3" ht="16" customHeight="1" x14ac:dyDescent="0.25">
      <c r="A79" s="1" t="s">
        <v>161</v>
      </c>
      <c r="B79" s="21">
        <v>0</v>
      </c>
      <c r="C79" s="105" t="s">
        <v>381</v>
      </c>
    </row>
    <row r="80" spans="1:3" ht="16" customHeight="1" x14ac:dyDescent="0.25">
      <c r="A80" s="1" t="s">
        <v>156</v>
      </c>
      <c r="B80" s="21">
        <v>0</v>
      </c>
      <c r="C80" s="105" t="s">
        <v>381</v>
      </c>
    </row>
    <row r="81" spans="1:3" ht="16" customHeight="1" x14ac:dyDescent="0.25">
      <c r="A81" s="1" t="s">
        <v>163</v>
      </c>
      <c r="B81" s="21">
        <v>0</v>
      </c>
      <c r="C81" s="105" t="s">
        <v>381</v>
      </c>
    </row>
    <row r="82" spans="1:3" ht="16" customHeight="1" x14ac:dyDescent="0.25">
      <c r="A82" s="1" t="s">
        <v>183</v>
      </c>
      <c r="B82" s="21">
        <v>0</v>
      </c>
      <c r="C82" s="105" t="s">
        <v>381</v>
      </c>
    </row>
  </sheetData>
  <sheetProtection algorithmName="SHA-512" hashValue="nGR7z2l7EDyKnWWF5DWmQCImERECRtdM5B3MnUe6LDjqYQ9A0BOXWQkLj440kSXNqt9ysT0rvANuttPL0pzdIw==" saltValue="KEppuA2fmE1oqGFY40Eo7g==" spinCount="100000" sheet="1" objects="1" scenarios="1"/>
  <conditionalFormatting sqref="B4">
    <cfRule type="expression" dxfId="2" priority="1" stopIfTrue="1">
      <formula>ROUND(B4,2)&lt;&gt;0</formula>
    </cfRule>
  </conditionalFormatting>
  <conditionalFormatting sqref="C4">
    <cfRule type="cellIs" dxfId="1" priority="2" stopIfTrue="1" operator="equal">
      <formula>"error!"</formula>
    </cfRule>
  </conditionalFormatting>
  <conditionalFormatting sqref="C6:C82">
    <cfRule type="cellIs" dxfId="0" priority="3" stopIfTrue="1" operator="equal">
      <formula>"error!"</formula>
    </cfRule>
  </conditionalFormatting>
  <dataValidations count="1">
    <dataValidation type="list" allowBlank="1" showInputMessage="1" showErrorMessage="1" errorTitle="Invalid Data" error="Select a valid item from the list box." sqref="E3" xr:uid="{00000000-0002-0000-0E00-000000000000}">
      <formula1>"Current,Prior,Forecast"</formula1>
    </dataValidation>
  </dataValidations>
  <pageMargins left="0.55118110236220474" right="0.55118110236220474" top="0.55118110236220474" bottom="0.55118110236220474" header="0.39370078740157483" footer="0.39370078740157483"/>
  <pageSetup paperSize="57" fitToHeight="0" orientation="portrait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41"/>
  <sheetViews>
    <sheetView zoomScale="95" zoomScaleNormal="95" workbookViewId="0">
      <pane ySplit="4" topLeftCell="A5" activePane="bottomLeft" state="frozen"/>
      <selection activeCell="G2" sqref="G2"/>
      <selection pane="bottomLeft" activeCell="G2" sqref="G2"/>
    </sheetView>
  </sheetViews>
  <sheetFormatPr defaultColWidth="9.08984375" defaultRowHeight="16" customHeight="1" x14ac:dyDescent="0.25"/>
  <cols>
    <col min="1" max="1" width="10.6328125" style="1" customWidth="1"/>
    <col min="2" max="2" width="40.6328125" style="1" customWidth="1"/>
    <col min="3" max="14" width="15.6328125" style="1" customWidth="1"/>
    <col min="15" max="16384" width="9.08984375" style="1"/>
  </cols>
  <sheetData>
    <row r="1" spans="1:2" ht="16" customHeight="1" x14ac:dyDescent="0.3">
      <c r="A1" s="106" t="str">
        <f>IF(ISBLANK(Setup!$C$4),"Example (Pty) Limited",Setup!$C$4)</f>
        <v>Example (Pty) Limited</v>
      </c>
    </row>
    <row r="2" spans="1:2" ht="16" customHeight="1" x14ac:dyDescent="0.25">
      <c r="A2" s="4" t="s">
        <v>86</v>
      </c>
    </row>
    <row r="3" spans="1:2" ht="16" customHeight="1" x14ac:dyDescent="0.25">
      <c r="A3" s="5" t="s">
        <v>36</v>
      </c>
    </row>
    <row r="4" spans="1:2" ht="18" customHeight="1" x14ac:dyDescent="0.25">
      <c r="A4" s="12" t="s">
        <v>6</v>
      </c>
      <c r="B4" s="12" t="s">
        <v>25</v>
      </c>
    </row>
    <row r="5" spans="1:2" ht="16" customHeight="1" x14ac:dyDescent="0.25">
      <c r="A5" s="4" t="s">
        <v>32</v>
      </c>
    </row>
    <row r="6" spans="1:2" ht="16" customHeight="1" x14ac:dyDescent="0.25">
      <c r="A6" s="13" t="s">
        <v>238</v>
      </c>
      <c r="B6" s="1" t="s">
        <v>48</v>
      </c>
    </row>
    <row r="7" spans="1:2" ht="16" customHeight="1" x14ac:dyDescent="0.25">
      <c r="A7" s="13" t="s">
        <v>239</v>
      </c>
      <c r="B7" s="1" t="s">
        <v>235</v>
      </c>
    </row>
    <row r="8" spans="1:2" ht="16" customHeight="1" x14ac:dyDescent="0.25">
      <c r="A8" s="13" t="s">
        <v>240</v>
      </c>
      <c r="B8" s="1" t="s">
        <v>194</v>
      </c>
    </row>
    <row r="9" spans="1:2" ht="16" customHeight="1" x14ac:dyDescent="0.25">
      <c r="A9" s="13" t="s">
        <v>241</v>
      </c>
      <c r="B9" s="1" t="s">
        <v>195</v>
      </c>
    </row>
    <row r="10" spans="1:2" ht="16" customHeight="1" x14ac:dyDescent="0.25">
      <c r="A10" s="13" t="s">
        <v>242</v>
      </c>
      <c r="B10" s="1" t="s">
        <v>196</v>
      </c>
    </row>
    <row r="11" spans="1:2" ht="16" customHeight="1" x14ac:dyDescent="0.25">
      <c r="A11" s="13" t="s">
        <v>243</v>
      </c>
      <c r="B11" s="1" t="s">
        <v>23</v>
      </c>
    </row>
    <row r="12" spans="1:2" ht="16" customHeight="1" x14ac:dyDescent="0.25">
      <c r="A12" s="13" t="s">
        <v>244</v>
      </c>
      <c r="B12" s="1" t="s">
        <v>199</v>
      </c>
    </row>
    <row r="13" spans="1:2" ht="16" customHeight="1" x14ac:dyDescent="0.25">
      <c r="A13" s="13" t="s">
        <v>245</v>
      </c>
      <c r="B13" s="1" t="s">
        <v>22</v>
      </c>
    </row>
    <row r="14" spans="1:2" ht="16" customHeight="1" x14ac:dyDescent="0.25">
      <c r="A14" s="13" t="s">
        <v>203</v>
      </c>
      <c r="B14" s="1" t="s">
        <v>4</v>
      </c>
    </row>
    <row r="15" spans="1:2" ht="16" customHeight="1" x14ac:dyDescent="0.25">
      <c r="A15" s="13" t="s">
        <v>246</v>
      </c>
      <c r="B15" s="1" t="s">
        <v>24</v>
      </c>
    </row>
    <row r="16" spans="1:2" ht="16" customHeight="1" x14ac:dyDescent="0.25">
      <c r="A16" s="4" t="s">
        <v>33</v>
      </c>
    </row>
    <row r="17" spans="1:2" ht="16" customHeight="1" x14ac:dyDescent="0.25">
      <c r="A17" s="13" t="s">
        <v>247</v>
      </c>
      <c r="B17" s="1" t="s">
        <v>119</v>
      </c>
    </row>
    <row r="18" spans="1:2" ht="16" customHeight="1" x14ac:dyDescent="0.25">
      <c r="A18" s="13" t="s">
        <v>248</v>
      </c>
      <c r="B18" s="1" t="s">
        <v>120</v>
      </c>
    </row>
    <row r="19" spans="1:2" ht="16" customHeight="1" x14ac:dyDescent="0.25">
      <c r="A19" s="13" t="s">
        <v>249</v>
      </c>
      <c r="B19" s="1" t="s">
        <v>121</v>
      </c>
    </row>
    <row r="20" spans="1:2" ht="16" customHeight="1" x14ac:dyDescent="0.25">
      <c r="A20" s="13" t="s">
        <v>250</v>
      </c>
      <c r="B20" s="1" t="s">
        <v>122</v>
      </c>
    </row>
    <row r="21" spans="1:2" ht="16" customHeight="1" x14ac:dyDescent="0.25">
      <c r="A21" s="13" t="s">
        <v>251</v>
      </c>
      <c r="B21" s="1" t="s">
        <v>9</v>
      </c>
    </row>
    <row r="22" spans="1:2" ht="16" customHeight="1" x14ac:dyDescent="0.25">
      <c r="A22" s="13" t="s">
        <v>252</v>
      </c>
      <c r="B22" s="1" t="s">
        <v>143</v>
      </c>
    </row>
    <row r="23" spans="1:2" ht="16" customHeight="1" x14ac:dyDescent="0.25">
      <c r="A23" s="13" t="s">
        <v>253</v>
      </c>
      <c r="B23" s="1" t="s">
        <v>144</v>
      </c>
    </row>
    <row r="24" spans="1:2" ht="16" customHeight="1" x14ac:dyDescent="0.25">
      <c r="A24" s="13" t="s">
        <v>254</v>
      </c>
      <c r="B24" s="1" t="s">
        <v>153</v>
      </c>
    </row>
    <row r="25" spans="1:2" ht="16" customHeight="1" x14ac:dyDescent="0.25">
      <c r="A25" s="13" t="s">
        <v>255</v>
      </c>
      <c r="B25" s="1" t="s">
        <v>26</v>
      </c>
    </row>
    <row r="26" spans="1:2" ht="16" customHeight="1" x14ac:dyDescent="0.25">
      <c r="A26" s="13" t="s">
        <v>256</v>
      </c>
      <c r="B26" s="1" t="s">
        <v>158</v>
      </c>
    </row>
    <row r="27" spans="1:2" ht="16" customHeight="1" x14ac:dyDescent="0.25">
      <c r="A27" s="13" t="s">
        <v>257</v>
      </c>
      <c r="B27" s="1" t="s">
        <v>71</v>
      </c>
    </row>
    <row r="28" spans="1:2" ht="16" customHeight="1" x14ac:dyDescent="0.25">
      <c r="A28" s="4" t="s">
        <v>35</v>
      </c>
    </row>
    <row r="29" spans="1:2" ht="16" customHeight="1" x14ac:dyDescent="0.25">
      <c r="A29" s="13" t="s">
        <v>258</v>
      </c>
      <c r="B29" s="1" t="s">
        <v>162</v>
      </c>
    </row>
    <row r="30" spans="1:2" ht="16" customHeight="1" x14ac:dyDescent="0.25">
      <c r="A30" s="13" t="s">
        <v>259</v>
      </c>
      <c r="B30" s="1" t="s">
        <v>29</v>
      </c>
    </row>
    <row r="31" spans="1:2" ht="16" customHeight="1" x14ac:dyDescent="0.25">
      <c r="A31" s="13" t="s">
        <v>260</v>
      </c>
      <c r="B31" s="1" t="s">
        <v>165</v>
      </c>
    </row>
    <row r="32" spans="1:2" ht="16" customHeight="1" x14ac:dyDescent="0.25">
      <c r="A32" s="13" t="s">
        <v>261</v>
      </c>
      <c r="B32" s="1" t="s">
        <v>83</v>
      </c>
    </row>
    <row r="33" spans="1:2" ht="16" customHeight="1" x14ac:dyDescent="0.25">
      <c r="A33" s="13" t="s">
        <v>262</v>
      </c>
      <c r="B33" s="1" t="s">
        <v>84</v>
      </c>
    </row>
    <row r="34" spans="1:2" ht="16" customHeight="1" x14ac:dyDescent="0.25">
      <c r="A34" s="13" t="s">
        <v>263</v>
      </c>
      <c r="B34" s="1" t="s">
        <v>173</v>
      </c>
    </row>
    <row r="35" spans="1:2" ht="16" customHeight="1" x14ac:dyDescent="0.25">
      <c r="A35" s="13" t="s">
        <v>264</v>
      </c>
      <c r="B35" s="1" t="s">
        <v>177</v>
      </c>
    </row>
    <row r="36" spans="1:2" ht="16" customHeight="1" x14ac:dyDescent="0.25">
      <c r="A36" s="13" t="s">
        <v>265</v>
      </c>
      <c r="B36" s="1" t="s">
        <v>27</v>
      </c>
    </row>
    <row r="37" spans="1:2" ht="16" customHeight="1" x14ac:dyDescent="0.25">
      <c r="A37" s="4" t="s">
        <v>34</v>
      </c>
    </row>
    <row r="38" spans="1:2" ht="16" customHeight="1" x14ac:dyDescent="0.25">
      <c r="A38" s="13" t="s">
        <v>266</v>
      </c>
      <c r="B38" s="1" t="s">
        <v>47</v>
      </c>
    </row>
    <row r="39" spans="1:2" ht="16" customHeight="1" x14ac:dyDescent="0.25">
      <c r="A39" s="13" t="s">
        <v>267</v>
      </c>
      <c r="B39" s="1" t="s">
        <v>182</v>
      </c>
    </row>
    <row r="40" spans="1:2" ht="16" customHeight="1" x14ac:dyDescent="0.25">
      <c r="A40" s="13" t="s">
        <v>268</v>
      </c>
      <c r="B40" s="1" t="s">
        <v>12</v>
      </c>
    </row>
    <row r="41" spans="1:2" s="4" customFormat="1" ht="16" customHeight="1" x14ac:dyDescent="0.25">
      <c r="A41" s="4" t="s">
        <v>170</v>
      </c>
    </row>
  </sheetData>
  <pageMargins left="0.55118110236220474" right="0.55118110236220474" top="0.55118110236220474" bottom="0.55118110236220474" header="0.39370078740157483" footer="0.39370078740157483"/>
  <pageSetup paperSize="9" orientation="portrait" r:id="rId1"/>
  <headerFooter>
    <oddFooter>&amp;C&amp;9Page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D82"/>
  <sheetViews>
    <sheetView zoomScale="95" zoomScaleNormal="95" workbookViewId="0">
      <pane ySplit="4" topLeftCell="A5" activePane="bottomLeft" state="frozen"/>
      <selection activeCell="G2" sqref="G2"/>
      <selection pane="bottomLeft" activeCell="G2" sqref="G2"/>
    </sheetView>
  </sheetViews>
  <sheetFormatPr defaultColWidth="9.08984375" defaultRowHeight="16" customHeight="1" x14ac:dyDescent="0.25"/>
  <cols>
    <col min="1" max="1" width="10.6328125" style="14" customWidth="1"/>
    <col min="2" max="2" width="43.453125" style="14" customWidth="1"/>
    <col min="3" max="3" width="12.81640625" style="15" customWidth="1"/>
    <col min="4" max="4" width="12.81640625" style="16" customWidth="1"/>
    <col min="5" max="16384" width="9.08984375" style="1"/>
  </cols>
  <sheetData>
    <row r="1" spans="1:4" ht="16" customHeight="1" x14ac:dyDescent="0.3">
      <c r="A1" s="106" t="str">
        <f>IF(ISBLANK(Setup!$C$4),"Example (Pty) Limited",Setup!$C$4)</f>
        <v>Example (Pty) Limited</v>
      </c>
    </row>
    <row r="2" spans="1:4" ht="16" customHeight="1" x14ac:dyDescent="0.25">
      <c r="A2" s="2" t="s">
        <v>204</v>
      </c>
    </row>
    <row r="3" spans="1:4" ht="16" customHeight="1" x14ac:dyDescent="0.25">
      <c r="A3" s="5" t="s">
        <v>36</v>
      </c>
    </row>
    <row r="4" spans="1:4" s="20" customFormat="1" ht="18" customHeight="1" x14ac:dyDescent="0.25">
      <c r="A4" s="17" t="s">
        <v>20</v>
      </c>
      <c r="B4" s="17" t="s">
        <v>7</v>
      </c>
      <c r="C4" s="18" t="s">
        <v>6</v>
      </c>
      <c r="D4" s="19" t="s">
        <v>89</v>
      </c>
    </row>
    <row r="5" spans="1:4" ht="16" customHeight="1" x14ac:dyDescent="0.25">
      <c r="A5" s="14" t="s">
        <v>95</v>
      </c>
      <c r="B5" s="14" t="s">
        <v>96</v>
      </c>
      <c r="C5" s="1" t="s">
        <v>247</v>
      </c>
      <c r="D5" s="16" t="str" cm="1">
        <f t="array" aca="1" ref="D5" ca="1">IF(ISBLANK($A5),"-",IF(ISBLANK($C5),"E4",IF(ISNA(MATCH($C5,ISCode,0)),IF(ISNA(MATCH($C5,BSCode,0)),"E2",IF(COUNTIF(BSCode,$C5)&gt;1,"E5","-")),IF(COUNTIF(ISCode,$C5)&gt;1,"E5","-"))))</f>
        <v>-</v>
      </c>
    </row>
    <row r="6" spans="1:4" ht="16" customHeight="1" x14ac:dyDescent="0.25">
      <c r="A6" s="14" t="s">
        <v>97</v>
      </c>
      <c r="B6" s="14" t="s">
        <v>98</v>
      </c>
      <c r="C6" s="1" t="s">
        <v>247</v>
      </c>
      <c r="D6" s="16" t="str" cm="1">
        <f t="array" aca="1" ref="D6" ca="1">IF(ISBLANK($A6),"-",IF(ISBLANK($C6),"E4",IF(ISNA(MATCH($C6,ISCode,0)),IF(ISNA(MATCH($C6,BSCode,0)),"E2",IF(COUNTIF(BSCode,$C6)&gt;1,"E5","-")),IF(COUNTIF(ISCode,$C6)&gt;1,"E5","-"))))</f>
        <v>-</v>
      </c>
    </row>
    <row r="7" spans="1:4" ht="16" customHeight="1" x14ac:dyDescent="0.25">
      <c r="A7" s="14" t="s">
        <v>99</v>
      </c>
      <c r="B7" s="14" t="s">
        <v>100</v>
      </c>
      <c r="C7" s="1" t="s">
        <v>247</v>
      </c>
      <c r="D7" s="16" t="str" cm="1">
        <f t="array" aca="1" ref="D7" ca="1">IF(ISBLANK($A7),"-",IF(ISBLANK($C7),"E4",IF(ISNA(MATCH($C7,ISCode,0)),IF(ISNA(MATCH($C7,BSCode,0)),"E2",IF(COUNTIF(BSCode,$C7)&gt;1,"E5","-")),IF(COUNTIF(ISCode,$C7)&gt;1,"E5","-"))))</f>
        <v>-</v>
      </c>
    </row>
    <row r="8" spans="1:4" ht="16" customHeight="1" x14ac:dyDescent="0.25">
      <c r="A8" s="14" t="s">
        <v>101</v>
      </c>
      <c r="B8" s="14" t="s">
        <v>102</v>
      </c>
      <c r="C8" s="1" t="s">
        <v>247</v>
      </c>
      <c r="D8" s="16" t="str" cm="1">
        <f t="array" aca="1" ref="D8" ca="1">IF(ISBLANK($A8),"-",IF(ISBLANK($C8),"E4",IF(ISNA(MATCH($C8,ISCode,0)),IF(ISNA(MATCH($C8,BSCode,0)),"E2",IF(COUNTIF(BSCode,$C8)&gt;1,"E5","-")),IF(COUNTIF(ISCode,$C8)&gt;1,"E5","-"))))</f>
        <v>-</v>
      </c>
    </row>
    <row r="9" spans="1:4" ht="16" customHeight="1" x14ac:dyDescent="0.25">
      <c r="A9" s="14" t="s">
        <v>103</v>
      </c>
      <c r="B9" s="14" t="s">
        <v>104</v>
      </c>
      <c r="C9" s="1" t="s">
        <v>247</v>
      </c>
      <c r="D9" s="16" t="str" cm="1">
        <f t="array" aca="1" ref="D9" ca="1">IF(ISBLANK($A9),"-",IF(ISBLANK($C9),"E4",IF(ISNA(MATCH($C9,ISCode,0)),IF(ISNA(MATCH($C9,BSCode,0)),"E2",IF(COUNTIF(BSCode,$C9)&gt;1,"E5","-")),IF(COUNTIF(ISCode,$C9)&gt;1,"E5","-"))))</f>
        <v>-</v>
      </c>
    </row>
    <row r="10" spans="1:4" ht="16" customHeight="1" x14ac:dyDescent="0.25">
      <c r="A10" s="14" t="s">
        <v>105</v>
      </c>
      <c r="B10" s="14" t="s">
        <v>106</v>
      </c>
      <c r="C10" s="1" t="s">
        <v>247</v>
      </c>
      <c r="D10" s="16" t="str" cm="1">
        <f t="array" aca="1" ref="D10" ca="1">IF(ISBLANK($A10),"-",IF(ISBLANK($C10),"E4",IF(ISNA(MATCH($C10,ISCode,0)),IF(ISNA(MATCH($C10,BSCode,0)),"E2",IF(COUNTIF(BSCode,$C10)&gt;1,"E5","-")),IF(COUNTIF(ISCode,$C10)&gt;1,"E5","-"))))</f>
        <v>-</v>
      </c>
    </row>
    <row r="11" spans="1:4" ht="16" customHeight="1" x14ac:dyDescent="0.25">
      <c r="A11" s="14" t="s">
        <v>107</v>
      </c>
      <c r="B11" s="14" t="s">
        <v>108</v>
      </c>
      <c r="C11" s="1" t="s">
        <v>248</v>
      </c>
      <c r="D11" s="16" t="str" cm="1">
        <f t="array" aca="1" ref="D11" ca="1">IF(ISBLANK($A11),"-",IF(ISBLANK($C11),"E4",IF(ISNA(MATCH($C11,ISCode,0)),IF(ISNA(MATCH($C11,BSCode,0)),"E2",IF(COUNTIF(BSCode,$C11)&gt;1,"E5","-")),IF(COUNTIF(ISCode,$C11)&gt;1,"E5","-"))))</f>
        <v>-</v>
      </c>
    </row>
    <row r="12" spans="1:4" ht="16" customHeight="1" x14ac:dyDescent="0.25">
      <c r="A12" s="14" t="s">
        <v>109</v>
      </c>
      <c r="B12" s="14" t="s">
        <v>110</v>
      </c>
      <c r="C12" s="1" t="s">
        <v>248</v>
      </c>
      <c r="D12" s="16" t="str" cm="1">
        <f t="array" aca="1" ref="D12" ca="1">IF(ISBLANK($A12),"-",IF(ISBLANK($C12),"E4",IF(ISNA(MATCH($C12,ISCode,0)),IF(ISNA(MATCH($C12,BSCode,0)),"E2",IF(COUNTIF(BSCode,$C12)&gt;1,"E5","-")),IF(COUNTIF(ISCode,$C12)&gt;1,"E5","-"))))</f>
        <v>-</v>
      </c>
    </row>
    <row r="13" spans="1:4" ht="16" customHeight="1" x14ac:dyDescent="0.25">
      <c r="A13" s="14" t="s">
        <v>111</v>
      </c>
      <c r="B13" s="14" t="s">
        <v>112</v>
      </c>
      <c r="C13" s="1" t="s">
        <v>248</v>
      </c>
      <c r="D13" s="16" t="str" cm="1">
        <f t="array" aca="1" ref="D13" ca="1">IF(ISBLANK($A13),"-",IF(ISBLANK($C13),"E4",IF(ISNA(MATCH($C13,ISCode,0)),IF(ISNA(MATCH($C13,BSCode,0)),"E2",IF(COUNTIF(BSCode,$C13)&gt;1,"E5","-")),IF(COUNTIF(ISCode,$C13)&gt;1,"E5","-"))))</f>
        <v>-</v>
      </c>
    </row>
    <row r="14" spans="1:4" ht="16" customHeight="1" x14ac:dyDescent="0.25">
      <c r="A14" s="14" t="s">
        <v>113</v>
      </c>
      <c r="B14" s="14" t="s">
        <v>114</v>
      </c>
      <c r="C14" s="1" t="s">
        <v>248</v>
      </c>
      <c r="D14" s="16" t="str" cm="1">
        <f t="array" aca="1" ref="D14" ca="1">IF(ISBLANK($A14),"-",IF(ISBLANK($C14),"E4",IF(ISNA(MATCH($C14,ISCode,0)),IF(ISNA(MATCH($C14,BSCode,0)),"E2",IF(COUNTIF(BSCode,$C14)&gt;1,"E5","-")),IF(COUNTIF(ISCode,$C14)&gt;1,"E5","-"))))</f>
        <v>-</v>
      </c>
    </row>
    <row r="15" spans="1:4" ht="16" customHeight="1" x14ac:dyDescent="0.25">
      <c r="A15" s="14" t="s">
        <v>115</v>
      </c>
      <c r="B15" s="14" t="s">
        <v>116</v>
      </c>
      <c r="C15" s="1" t="s">
        <v>248</v>
      </c>
      <c r="D15" s="16" t="str" cm="1">
        <f t="array" aca="1" ref="D15" ca="1">IF(ISBLANK($A15),"-",IF(ISBLANK($C15),"E4",IF(ISNA(MATCH($C15,ISCode,0)),IF(ISNA(MATCH($C15,BSCode,0)),"E2",IF(COUNTIF(BSCode,$C15)&gt;1,"E5","-")),IF(COUNTIF(ISCode,$C15)&gt;1,"E5","-"))))</f>
        <v>-</v>
      </c>
    </row>
    <row r="16" spans="1:4" ht="16" customHeight="1" x14ac:dyDescent="0.25">
      <c r="A16" s="14" t="s">
        <v>117</v>
      </c>
      <c r="B16" s="14" t="s">
        <v>118</v>
      </c>
      <c r="C16" s="1" t="s">
        <v>248</v>
      </c>
      <c r="D16" s="16" t="str" cm="1">
        <f t="array" aca="1" ref="D16" ca="1">IF(ISBLANK($A16),"-",IF(ISBLANK($C16),"E4",IF(ISNA(MATCH($C16,ISCode,0)),IF(ISNA(MATCH($C16,BSCode,0)),"E2",IF(COUNTIF(BSCode,$C16)&gt;1,"E5","-")),IF(COUNTIF(ISCode,$C16)&gt;1,"E5","-"))))</f>
        <v>-</v>
      </c>
    </row>
    <row r="17" spans="1:4" ht="16" customHeight="1" x14ac:dyDescent="0.25">
      <c r="A17" s="14" t="s">
        <v>130</v>
      </c>
      <c r="B17" s="14" t="s">
        <v>131</v>
      </c>
      <c r="C17" s="1" t="s">
        <v>249</v>
      </c>
      <c r="D17" s="16" t="str" cm="1">
        <f t="array" aca="1" ref="D17" ca="1">IF(ISBLANK($A17),"-",IF(ISBLANK($C17),"E4",IF(ISNA(MATCH($C17,ISCode,0)),IF(ISNA(MATCH($C17,BSCode,0)),"E2",IF(COUNTIF(BSCode,$C17)&gt;1,"E5","-")),IF(COUNTIF(ISCode,$C17)&gt;1,"E5","-"))))</f>
        <v>-</v>
      </c>
    </row>
    <row r="18" spans="1:4" ht="16" customHeight="1" x14ac:dyDescent="0.25">
      <c r="A18" s="14" t="s">
        <v>132</v>
      </c>
      <c r="B18" s="14" t="s">
        <v>133</v>
      </c>
      <c r="C18" s="1" t="s">
        <v>249</v>
      </c>
      <c r="D18" s="16" t="str" cm="1">
        <f t="array" aca="1" ref="D18" ca="1">IF(ISBLANK($A18),"-",IF(ISBLANK($C18),"E4",IF(ISNA(MATCH($C18,ISCode,0)),IF(ISNA(MATCH($C18,BSCode,0)),"E2",IF(COUNTIF(BSCode,$C18)&gt;1,"E5","-")),IF(COUNTIF(ISCode,$C18)&gt;1,"E5","-"))))</f>
        <v>-</v>
      </c>
    </row>
    <row r="19" spans="1:4" ht="16" customHeight="1" x14ac:dyDescent="0.25">
      <c r="A19" s="14" t="s">
        <v>134</v>
      </c>
      <c r="B19" s="14" t="s">
        <v>135</v>
      </c>
      <c r="C19" s="1" t="s">
        <v>249</v>
      </c>
      <c r="D19" s="16" t="str" cm="1">
        <f t="array" aca="1" ref="D19" ca="1">IF(ISBLANK($A19),"-",IF(ISBLANK($C19),"E4",IF(ISNA(MATCH($C19,ISCode,0)),IF(ISNA(MATCH($C19,BSCode,0)),"E2",IF(COUNTIF(BSCode,$C19)&gt;1,"E5","-")),IF(COUNTIF(ISCode,$C19)&gt;1,"E5","-"))))</f>
        <v>-</v>
      </c>
    </row>
    <row r="20" spans="1:4" ht="16" customHeight="1" x14ac:dyDescent="0.25">
      <c r="A20" s="14" t="s">
        <v>136</v>
      </c>
      <c r="B20" s="14" t="s">
        <v>137</v>
      </c>
      <c r="C20" s="1" t="s">
        <v>250</v>
      </c>
      <c r="D20" s="16" t="str" cm="1">
        <f t="array" aca="1" ref="D20" ca="1">IF(ISBLANK($A20),"-",IF(ISBLANK($C20),"E4",IF(ISNA(MATCH($C20,ISCode,0)),IF(ISNA(MATCH($C20,BSCode,0)),"E2",IF(COUNTIF(BSCode,$C20)&gt;1,"E5","-")),IF(COUNTIF(ISCode,$C20)&gt;1,"E5","-"))))</f>
        <v>-</v>
      </c>
    </row>
    <row r="21" spans="1:4" ht="16" customHeight="1" x14ac:dyDescent="0.25">
      <c r="A21" s="14" t="s">
        <v>138</v>
      </c>
      <c r="B21" s="14" t="s">
        <v>139</v>
      </c>
      <c r="C21" s="1" t="s">
        <v>250</v>
      </c>
      <c r="D21" s="16" t="str" cm="1">
        <f t="array" aca="1" ref="D21" ca="1">IF(ISBLANK($A21),"-",IF(ISBLANK($C21),"E4",IF(ISNA(MATCH($C21,ISCode,0)),IF(ISNA(MATCH($C21,BSCode,0)),"E2",IF(COUNTIF(BSCode,$C21)&gt;1,"E5","-")),IF(COUNTIF(ISCode,$C21)&gt;1,"E5","-"))))</f>
        <v>-</v>
      </c>
    </row>
    <row r="22" spans="1:4" ht="16" customHeight="1" x14ac:dyDescent="0.25">
      <c r="A22" s="14" t="s">
        <v>140</v>
      </c>
      <c r="B22" s="14" t="s">
        <v>141</v>
      </c>
      <c r="C22" s="1" t="s">
        <v>250</v>
      </c>
      <c r="D22" s="16" t="str" cm="1">
        <f t="array" aca="1" ref="D22" ca="1">IF(ISBLANK($A22),"-",IF(ISBLANK($C22),"E4",IF(ISNA(MATCH($C22,ISCode,0)),IF(ISNA(MATCH($C22,BSCode,0)),"E2",IF(COUNTIF(BSCode,$C22)&gt;1,"E5","-")),IF(COUNTIF(ISCode,$C22)&gt;1,"E5","-"))))</f>
        <v>-</v>
      </c>
    </row>
    <row r="23" spans="1:4" ht="16" customHeight="1" x14ac:dyDescent="0.25">
      <c r="A23" s="14" t="s">
        <v>142</v>
      </c>
      <c r="B23" s="14" t="s">
        <v>9</v>
      </c>
      <c r="C23" s="1" t="s">
        <v>251</v>
      </c>
      <c r="D23" s="16" t="str" cm="1">
        <f t="array" aca="1" ref="D23" ca="1">IF(ISBLANK($A23),"-",IF(ISBLANK($C23),"E4",IF(ISNA(MATCH($C23,ISCode,0)),IF(ISNA(MATCH($C23,BSCode,0)),"E2",IF(COUNTIF(BSCode,$C23)&gt;1,"E5","-")),IF(COUNTIF(ISCode,$C23)&gt;1,"E5","-"))))</f>
        <v>-</v>
      </c>
    </row>
    <row r="24" spans="1:4" ht="16" customHeight="1" x14ac:dyDescent="0.25">
      <c r="A24" s="14" t="s">
        <v>155</v>
      </c>
      <c r="B24" s="14" t="s">
        <v>143</v>
      </c>
      <c r="C24" s="1" t="s">
        <v>252</v>
      </c>
      <c r="D24" s="16" t="str" cm="1">
        <f t="array" aca="1" ref="D24" ca="1">IF(ISBLANK($A24),"-",IF(ISBLANK($C24),"E4",IF(ISNA(MATCH($C24,ISCode,0)),IF(ISNA(MATCH($C24,BSCode,0)),"E2",IF(COUNTIF(BSCode,$C24)&gt;1,"E5","-")),IF(COUNTIF(ISCode,$C24)&gt;1,"E5","-"))))</f>
        <v>-</v>
      </c>
    </row>
    <row r="25" spans="1:4" ht="16" customHeight="1" x14ac:dyDescent="0.25">
      <c r="A25" s="14" t="s">
        <v>152</v>
      </c>
      <c r="B25" s="14" t="s">
        <v>153</v>
      </c>
      <c r="C25" s="1" t="s">
        <v>254</v>
      </c>
      <c r="D25" s="16" t="str" cm="1">
        <f t="array" aca="1" ref="D25" ca="1">IF(ISBLANK($A25),"-",IF(ISBLANK($C25),"E4",IF(ISNA(MATCH($C25,ISCode,0)),IF(ISNA(MATCH($C25,BSCode,0)),"E2",IF(COUNTIF(BSCode,$C25)&gt;1,"E5","-")),IF(COUNTIF(ISCode,$C25)&gt;1,"E5","-"))))</f>
        <v>-</v>
      </c>
    </row>
    <row r="26" spans="1:4" ht="16" customHeight="1" x14ac:dyDescent="0.25">
      <c r="A26" s="14" t="s">
        <v>154</v>
      </c>
      <c r="B26" s="14" t="s">
        <v>45</v>
      </c>
      <c r="C26" s="1" t="s">
        <v>254</v>
      </c>
      <c r="D26" s="16" t="str" cm="1">
        <f t="array" aca="1" ref="D26" ca="1">IF(ISBLANK($A26),"-",IF(ISBLANK($C26),"E4",IF(ISNA(MATCH($C26,ISCode,0)),IF(ISNA(MATCH($C26,BSCode,0)),"E2",IF(COUNTIF(BSCode,$C26)&gt;1,"E5","-")),IF(COUNTIF(ISCode,$C26)&gt;1,"E5","-"))))</f>
        <v>-</v>
      </c>
    </row>
    <row r="27" spans="1:4" ht="16" customHeight="1" x14ac:dyDescent="0.25">
      <c r="A27" s="14" t="s">
        <v>157</v>
      </c>
      <c r="B27" s="14" t="s">
        <v>158</v>
      </c>
      <c r="C27" s="1" t="s">
        <v>256</v>
      </c>
      <c r="D27" s="16" t="str" cm="1">
        <f t="array" aca="1" ref="D27" ca="1">IF(ISBLANK($A27),"-",IF(ISBLANK($C27),"E4",IF(ISNA(MATCH($C27,ISCode,0)),IF(ISNA(MATCH($C27,BSCode,0)),"E2",IF(COUNTIF(BSCode,$C27)&gt;1,"E5","-")),IF(COUNTIF(ISCode,$C27)&gt;1,"E5","-"))))</f>
        <v>-</v>
      </c>
    </row>
    <row r="28" spans="1:4" ht="16" customHeight="1" x14ac:dyDescent="0.25">
      <c r="A28" s="14" t="s">
        <v>159</v>
      </c>
      <c r="B28" s="14" t="s">
        <v>160</v>
      </c>
      <c r="C28" s="1" t="s">
        <v>256</v>
      </c>
      <c r="D28" s="16" t="str" cm="1">
        <f t="array" aca="1" ref="D28" ca="1">IF(ISBLANK($A28),"-",IF(ISBLANK($C28),"E4",IF(ISNA(MATCH($C28,ISCode,0)),IF(ISNA(MATCH($C28,BSCode,0)),"E2",IF(COUNTIF(BSCode,$C28)&gt;1,"E5","-")),IF(COUNTIF(ISCode,$C28)&gt;1,"E5","-"))))</f>
        <v>-</v>
      </c>
    </row>
    <row r="29" spans="1:4" ht="16" customHeight="1" x14ac:dyDescent="0.25">
      <c r="A29" s="14" t="s">
        <v>164</v>
      </c>
      <c r="B29" s="14" t="s">
        <v>165</v>
      </c>
      <c r="C29" s="1" t="s">
        <v>260</v>
      </c>
      <c r="D29" s="16" t="str" cm="1">
        <f t="array" aca="1" ref="D29" ca="1">IF(ISBLANK($A29),"-",IF(ISBLANK($C29),"E4",IF(ISNA(MATCH($C29,ISCode,0)),IF(ISNA(MATCH($C29,BSCode,0)),"E2",IF(COUNTIF(BSCode,$C29)&gt;1,"E5","-")),IF(COUNTIF(ISCode,$C29)&gt;1,"E5","-"))))</f>
        <v>-</v>
      </c>
    </row>
    <row r="30" spans="1:4" ht="16" customHeight="1" x14ac:dyDescent="0.25">
      <c r="A30" s="14" t="s">
        <v>166</v>
      </c>
      <c r="B30" s="14" t="s">
        <v>167</v>
      </c>
      <c r="C30" s="1" t="s">
        <v>260</v>
      </c>
      <c r="D30" s="16" t="str" cm="1">
        <f t="array" aca="1" ref="D30" ca="1">IF(ISBLANK($A30),"-",IF(ISBLANK($C30),"E4",IF(ISNA(MATCH($C30,ISCode,0)),IF(ISNA(MATCH($C30,BSCode,0)),"E2",IF(COUNTIF(BSCode,$C30)&gt;1,"E5","-")),IF(COUNTIF(ISCode,$C30)&gt;1,"E5","-"))))</f>
        <v>-</v>
      </c>
    </row>
    <row r="31" spans="1:4" ht="16" customHeight="1" x14ac:dyDescent="0.25">
      <c r="A31" s="14" t="s">
        <v>168</v>
      </c>
      <c r="B31" s="14" t="s">
        <v>82</v>
      </c>
      <c r="C31" s="1" t="s">
        <v>260</v>
      </c>
      <c r="D31" s="16" t="str" cm="1">
        <f t="array" aca="1" ref="D31" ca="1">IF(ISBLANK($A31),"-",IF(ISBLANK($C31),"E4",IF(ISNA(MATCH($C31,ISCode,0)),IF(ISNA(MATCH($C31,BSCode,0)),"E2",IF(COUNTIF(BSCode,$C31)&gt;1,"E5","-")),IF(COUNTIF(ISCode,$C31)&gt;1,"E5","-"))))</f>
        <v>-</v>
      </c>
    </row>
    <row r="32" spans="1:4" ht="16" customHeight="1" x14ac:dyDescent="0.25">
      <c r="A32" s="14" t="s">
        <v>169</v>
      </c>
      <c r="B32" s="14" t="s">
        <v>83</v>
      </c>
      <c r="C32" s="1" t="s">
        <v>261</v>
      </c>
      <c r="D32" s="16" t="str" cm="1">
        <f t="array" aca="1" ref="D32" ca="1">IF(ISBLANK($A32),"-",IF(ISBLANK($C32),"E4",IF(ISNA(MATCH($C32,ISCode,0)),IF(ISNA(MATCH($C32,BSCode,0)),"E2",IF(COUNTIF(BSCode,$C32)&gt;1,"E5","-")),IF(COUNTIF(ISCode,$C32)&gt;1,"E5","-"))))</f>
        <v>-</v>
      </c>
    </row>
    <row r="33" spans="1:4" ht="16" customHeight="1" x14ac:dyDescent="0.25">
      <c r="A33" s="14" t="s">
        <v>171</v>
      </c>
      <c r="B33" s="14" t="s">
        <v>172</v>
      </c>
      <c r="C33" s="1" t="s">
        <v>262</v>
      </c>
      <c r="D33" s="16" t="str" cm="1">
        <f t="array" aca="1" ref="D33" ca="1">IF(ISBLANK($A33),"-",IF(ISBLANK($C33),"E4",IF(ISNA(MATCH($C33,ISCode,0)),IF(ISNA(MATCH($C33,BSCode,0)),"E2",IF(COUNTIF(BSCode,$C33)&gt;1,"E5","-")),IF(COUNTIF(ISCode,$C33)&gt;1,"E5","-"))))</f>
        <v>-</v>
      </c>
    </row>
    <row r="34" spans="1:4" ht="16" customHeight="1" x14ac:dyDescent="0.25">
      <c r="A34" s="14" t="s">
        <v>174</v>
      </c>
      <c r="B34" s="14" t="s">
        <v>175</v>
      </c>
      <c r="C34" s="1" t="s">
        <v>263</v>
      </c>
      <c r="D34" s="16" t="str" cm="1">
        <f t="array" aca="1" ref="D34" ca="1">IF(ISBLANK($A34),"-",IF(ISBLANK($C34),"E4",IF(ISNA(MATCH($C34,ISCode,0)),IF(ISNA(MATCH($C34,BSCode,0)),"E2",IF(COUNTIF(BSCode,$C34)&gt;1,"E5","-")),IF(COUNTIF(ISCode,$C34)&gt;1,"E5","-"))))</f>
        <v>-</v>
      </c>
    </row>
    <row r="35" spans="1:4" ht="16" customHeight="1" x14ac:dyDescent="0.25">
      <c r="A35" s="14" t="s">
        <v>176</v>
      </c>
      <c r="B35" s="14" t="s">
        <v>46</v>
      </c>
      <c r="C35" s="1" t="s">
        <v>264</v>
      </c>
      <c r="D35" s="16" t="str" cm="1">
        <f t="array" aca="1" ref="D35" ca="1">IF(ISBLANK($A35),"-",IF(ISBLANK($C35),"E4",IF(ISNA(MATCH($C35,ISCode,0)),IF(ISNA(MATCH($C35,BSCode,0)),"E2",IF(COUNTIF(BSCode,$C35)&gt;1,"E5","-")),IF(COUNTIF(ISCode,$C35)&gt;1,"E5","-"))))</f>
        <v>-</v>
      </c>
    </row>
    <row r="36" spans="1:4" ht="16" customHeight="1" x14ac:dyDescent="0.25">
      <c r="A36" s="14" t="s">
        <v>178</v>
      </c>
      <c r="B36" s="14" t="s">
        <v>179</v>
      </c>
      <c r="C36" s="1" t="s">
        <v>265</v>
      </c>
      <c r="D36" s="16" t="str" cm="1">
        <f t="array" aca="1" ref="D36" ca="1">IF(ISBLANK($A36),"-",IF(ISBLANK($C36),"E4",IF(ISNA(MATCH($C36,ISCode,0)),IF(ISNA(MATCH($C36,BSCode,0)),"E2",IF(COUNTIF(BSCode,$C36)&gt;1,"E5","-")),IF(COUNTIF(ISCode,$C36)&gt;1,"E5","-"))))</f>
        <v>-</v>
      </c>
    </row>
    <row r="37" spans="1:4" ht="16" customHeight="1" x14ac:dyDescent="0.25">
      <c r="A37" s="14" t="s">
        <v>180</v>
      </c>
      <c r="B37" s="14" t="s">
        <v>47</v>
      </c>
      <c r="C37" s="1" t="s">
        <v>266</v>
      </c>
      <c r="D37" s="16" t="str" cm="1">
        <f t="array" aca="1" ref="D37" ca="1">IF(ISBLANK($A37),"-",IF(ISBLANK($C37),"E4",IF(ISNA(MATCH($C37,ISCode,0)),IF(ISNA(MATCH($C37,BSCode,0)),"E2",IF(COUNTIF(BSCode,$C37)&gt;1,"E5","-")),IF(COUNTIF(ISCode,$C37)&gt;1,"E5","-"))))</f>
        <v>-</v>
      </c>
    </row>
    <row r="38" spans="1:4" ht="16" customHeight="1" x14ac:dyDescent="0.25">
      <c r="A38" s="14" t="s">
        <v>181</v>
      </c>
      <c r="B38" s="14" t="s">
        <v>182</v>
      </c>
      <c r="C38" s="1" t="s">
        <v>267</v>
      </c>
      <c r="D38" s="16" t="str" cm="1">
        <f t="array" aca="1" ref="D38" ca="1">IF(ISBLANK($A38),"-",IF(ISBLANK($C38),"E4",IF(ISNA(MATCH($C38,ISCode,0)),IF(ISNA(MATCH($C38,BSCode,0)),"E2",IF(COUNTIF(BSCode,$C38)&gt;1,"E5","-")),IF(COUNTIF(ISCode,$C38)&gt;1,"E5","-"))))</f>
        <v>-</v>
      </c>
    </row>
    <row r="39" spans="1:4" ht="16" customHeight="1" x14ac:dyDescent="0.25">
      <c r="A39" s="14" t="s">
        <v>184</v>
      </c>
      <c r="B39" s="14" t="s">
        <v>185</v>
      </c>
      <c r="C39" s="1" t="s">
        <v>238</v>
      </c>
      <c r="D39" s="16" t="str" cm="1">
        <f t="array" aca="1" ref="D39" ca="1">IF(ISBLANK($A39),"-",IF(ISBLANK($C39),"E4",IF(ISNA(MATCH($C39,ISCode,0)),IF(ISNA(MATCH($C39,BSCode,0)),"E2",IF(COUNTIF(BSCode,$C39)&gt;1,"E5","-")),IF(COUNTIF(ISCode,$C39)&gt;1,"E5","-"))))</f>
        <v>-</v>
      </c>
    </row>
    <row r="40" spans="1:4" ht="16" customHeight="1" x14ac:dyDescent="0.25">
      <c r="A40" s="14" t="s">
        <v>186</v>
      </c>
      <c r="B40" s="14" t="s">
        <v>187</v>
      </c>
      <c r="C40" s="1" t="s">
        <v>238</v>
      </c>
      <c r="D40" s="16" t="str" cm="1">
        <f t="array" aca="1" ref="D40" ca="1">IF(ISBLANK($A40),"-",IF(ISBLANK($C40),"E4",IF(ISNA(MATCH($C40,ISCode,0)),IF(ISNA(MATCH($C40,BSCode,0)),"E2",IF(COUNTIF(BSCode,$C40)&gt;1,"E5","-")),IF(COUNTIF(ISCode,$C40)&gt;1,"E5","-"))))</f>
        <v>-</v>
      </c>
    </row>
    <row r="41" spans="1:4" ht="16" customHeight="1" x14ac:dyDescent="0.25">
      <c r="A41" s="14" t="s">
        <v>188</v>
      </c>
      <c r="B41" s="14" t="s">
        <v>189</v>
      </c>
      <c r="C41" s="1" t="s">
        <v>239</v>
      </c>
      <c r="D41" s="16" t="str" cm="1">
        <f t="array" aca="1" ref="D41" ca="1">IF(ISBLANK($A41),"-",IF(ISBLANK($C41),"E4",IF(ISNA(MATCH($C41,ISCode,0)),IF(ISNA(MATCH($C41,BSCode,0)),"E2",IF(COUNTIF(BSCode,$C41)&gt;1,"E5","-")),IF(COUNTIF(ISCode,$C41)&gt;1,"E5","-"))))</f>
        <v>-</v>
      </c>
    </row>
    <row r="42" spans="1:4" ht="16" customHeight="1" x14ac:dyDescent="0.25">
      <c r="A42" s="14" t="s">
        <v>190</v>
      </c>
      <c r="B42" s="14" t="s">
        <v>191</v>
      </c>
      <c r="C42" s="1" t="s">
        <v>239</v>
      </c>
      <c r="D42" s="16" t="str" cm="1">
        <f t="array" aca="1" ref="D42" ca="1">IF(ISBLANK($A42),"-",IF(ISBLANK($C42),"E4",IF(ISNA(MATCH($C42,ISCode,0)),IF(ISNA(MATCH($C42,BSCode,0)),"E2",IF(COUNTIF(BSCode,$C42)&gt;1,"E5","-")),IF(COUNTIF(ISCode,$C42)&gt;1,"E5","-"))))</f>
        <v>-</v>
      </c>
    </row>
    <row r="43" spans="1:4" ht="16" customHeight="1" x14ac:dyDescent="0.25">
      <c r="A43" s="14" t="s">
        <v>192</v>
      </c>
      <c r="B43" s="14" t="s">
        <v>193</v>
      </c>
      <c r="C43" s="1" t="s">
        <v>239</v>
      </c>
      <c r="D43" s="16" t="str" cm="1">
        <f t="array" aca="1" ref="D43" ca="1">IF(ISBLANK($A43),"-",IF(ISBLANK($C43),"E4",IF(ISNA(MATCH($C43,ISCode,0)),IF(ISNA(MATCH($C43,BSCode,0)),"E2",IF(COUNTIF(BSCode,$C43)&gt;1,"E5","-")),IF(COUNTIF(ISCode,$C43)&gt;1,"E5","-"))))</f>
        <v>-</v>
      </c>
    </row>
    <row r="44" spans="1:4" ht="16" customHeight="1" x14ac:dyDescent="0.25">
      <c r="A44" s="14" t="s">
        <v>205</v>
      </c>
      <c r="B44" s="14" t="s">
        <v>49</v>
      </c>
      <c r="C44" s="1" t="s">
        <v>269</v>
      </c>
      <c r="D44" s="16" t="str" cm="1">
        <f t="array" aca="1" ref="D44" ca="1">IF(ISBLANK($A44),"-",IF(ISBLANK($C44),"E4",IF(ISNA(MATCH($C44,ISCode,0)),IF(ISNA(MATCH($C44,BSCode,0)),"E2",IF(COUNTIF(BSCode,$C44)&gt;1,"E5","-")),IF(COUNTIF(ISCode,$C44)&gt;1,"E5","-"))))</f>
        <v>-</v>
      </c>
    </row>
    <row r="45" spans="1:4" ht="16" customHeight="1" x14ac:dyDescent="0.25">
      <c r="A45" s="14" t="s">
        <v>206</v>
      </c>
      <c r="B45" s="14" t="s">
        <v>21</v>
      </c>
      <c r="C45" s="1" t="s">
        <v>270</v>
      </c>
      <c r="D45" s="16" t="str" cm="1">
        <f t="array" aca="1" ref="D45" ca="1">IF(ISBLANK($A45),"-",IF(ISBLANK($C45),"E4",IF(ISNA(MATCH($C45,ISCode,0)),IF(ISNA(MATCH($C45,BSCode,0)),"E2",IF(COUNTIF(BSCode,$C45)&gt;1,"E5","-")),IF(COUNTIF(ISCode,$C45)&gt;1,"E5","-"))))</f>
        <v>-</v>
      </c>
    </row>
    <row r="46" spans="1:4" ht="16" customHeight="1" x14ac:dyDescent="0.25">
      <c r="A46" s="14" t="s">
        <v>207</v>
      </c>
      <c r="B46" s="14" t="s">
        <v>50</v>
      </c>
      <c r="C46" s="1" t="s">
        <v>271</v>
      </c>
      <c r="D46" s="16" t="str" cm="1">
        <f t="array" aca="1" ref="D46" ca="1">IF(ISBLANK($A46),"-",IF(ISBLANK($C46),"E4",IF(ISNA(MATCH($C46,ISCode,0)),IF(ISNA(MATCH($C46,BSCode,0)),"E2",IF(COUNTIF(BSCode,$C46)&gt;1,"E5","-")),IF(COUNTIF(ISCode,$C46)&gt;1,"E5","-"))))</f>
        <v>-</v>
      </c>
    </row>
    <row r="47" spans="1:4" ht="16" customHeight="1" x14ac:dyDescent="0.25">
      <c r="A47" s="14" t="s">
        <v>208</v>
      </c>
      <c r="B47" s="14" t="s">
        <v>51</v>
      </c>
      <c r="C47" s="1" t="s">
        <v>272</v>
      </c>
      <c r="D47" s="16" t="str" cm="1">
        <f t="array" aca="1" ref="D47" ca="1">IF(ISBLANK($A47),"-",IF(ISBLANK($C47),"E4",IF(ISNA(MATCH($C47,ISCode,0)),IF(ISNA(MATCH($C47,BSCode,0)),"E2",IF(COUNTIF(BSCode,$C47)&gt;1,"E5","-")),IF(COUNTIF(ISCode,$C47)&gt;1,"E5","-"))))</f>
        <v>-</v>
      </c>
    </row>
    <row r="48" spans="1:4" ht="16" customHeight="1" x14ac:dyDescent="0.25">
      <c r="A48" s="14" t="s">
        <v>209</v>
      </c>
      <c r="B48" s="14" t="s">
        <v>52</v>
      </c>
      <c r="C48" s="1" t="s">
        <v>273</v>
      </c>
      <c r="D48" s="16" t="str" cm="1">
        <f t="array" aca="1" ref="D48" ca="1">IF(ISBLANK($A48),"-",IF(ISBLANK($C48),"E4",IF(ISNA(MATCH($C48,ISCode,0)),IF(ISNA(MATCH($C48,BSCode,0)),"E2",IF(COUNTIF(BSCode,$C48)&gt;1,"E5","-")),IF(COUNTIF(ISCode,$C48)&gt;1,"E5","-"))))</f>
        <v>-</v>
      </c>
    </row>
    <row r="49" spans="1:4" ht="16" customHeight="1" x14ac:dyDescent="0.25">
      <c r="A49" s="14" t="s">
        <v>210</v>
      </c>
      <c r="B49" s="14" t="s">
        <v>53</v>
      </c>
      <c r="C49" s="1" t="s">
        <v>274</v>
      </c>
      <c r="D49" s="16" t="str" cm="1">
        <f t="array" aca="1" ref="D49" ca="1">IF(ISBLANK($A49),"-",IF(ISBLANK($C49),"E4",IF(ISNA(MATCH($C49,ISCode,0)),IF(ISNA(MATCH($C49,BSCode,0)),"E2",IF(COUNTIF(BSCode,$C49)&gt;1,"E5","-")),IF(COUNTIF(ISCode,$C49)&gt;1,"E5","-"))))</f>
        <v>-</v>
      </c>
    </row>
    <row r="50" spans="1:4" ht="16" customHeight="1" x14ac:dyDescent="0.25">
      <c r="A50" s="14" t="s">
        <v>211</v>
      </c>
      <c r="B50" s="14" t="s">
        <v>54</v>
      </c>
      <c r="C50" s="1" t="s">
        <v>275</v>
      </c>
      <c r="D50" s="16" t="str" cm="1">
        <f t="array" aca="1" ref="D50" ca="1">IF(ISBLANK($A50),"-",IF(ISBLANK($C50),"E4",IF(ISNA(MATCH($C50,ISCode,0)),IF(ISNA(MATCH($C50,BSCode,0)),"E2",IF(COUNTIF(BSCode,$C50)&gt;1,"E5","-")),IF(COUNTIF(ISCode,$C50)&gt;1,"E5","-"))))</f>
        <v>-</v>
      </c>
    </row>
    <row r="51" spans="1:4" ht="16" customHeight="1" x14ac:dyDescent="0.25">
      <c r="A51" s="14" t="s">
        <v>212</v>
      </c>
      <c r="B51" s="14" t="s">
        <v>55</v>
      </c>
      <c r="C51" s="1" t="s">
        <v>276</v>
      </c>
      <c r="D51" s="16" t="str" cm="1">
        <f t="array" aca="1" ref="D51" ca="1">IF(ISBLANK($A51),"-",IF(ISBLANK($C51),"E4",IF(ISNA(MATCH($C51,ISCode,0)),IF(ISNA(MATCH($C51,BSCode,0)),"E2",IF(COUNTIF(BSCode,$C51)&gt;1,"E5","-")),IF(COUNTIF(ISCode,$C51)&gt;1,"E5","-"))))</f>
        <v>-</v>
      </c>
    </row>
    <row r="52" spans="1:4" ht="16" customHeight="1" x14ac:dyDescent="0.25">
      <c r="A52" s="14" t="s">
        <v>213</v>
      </c>
      <c r="B52" s="14" t="s">
        <v>56</v>
      </c>
      <c r="C52" s="1" t="s">
        <v>277</v>
      </c>
      <c r="D52" s="16" t="str" cm="1">
        <f t="array" aca="1" ref="D52" ca="1">IF(ISBLANK($A52),"-",IF(ISBLANK($C52),"E4",IF(ISNA(MATCH($C52,ISCode,0)),IF(ISNA(MATCH($C52,BSCode,0)),"E2",IF(COUNTIF(BSCode,$C52)&gt;1,"E5","-")),IF(COUNTIF(ISCode,$C52)&gt;1,"E5","-"))))</f>
        <v>-</v>
      </c>
    </row>
    <row r="53" spans="1:4" ht="16" customHeight="1" x14ac:dyDescent="0.25">
      <c r="A53" s="14" t="s">
        <v>214</v>
      </c>
      <c r="B53" s="14" t="s">
        <v>57</v>
      </c>
      <c r="C53" s="1" t="s">
        <v>278</v>
      </c>
      <c r="D53" s="16" t="str" cm="1">
        <f t="array" aca="1" ref="D53" ca="1">IF(ISBLANK($A53),"-",IF(ISBLANK($C53),"E4",IF(ISNA(MATCH($C53,ISCode,0)),IF(ISNA(MATCH($C53,BSCode,0)),"E2",IF(COUNTIF(BSCode,$C53)&gt;1,"E5","-")),IF(COUNTIF(ISCode,$C53)&gt;1,"E5","-"))))</f>
        <v>-</v>
      </c>
    </row>
    <row r="54" spans="1:4" ht="16" customHeight="1" x14ac:dyDescent="0.25">
      <c r="A54" s="14" t="s">
        <v>215</v>
      </c>
      <c r="B54" s="14" t="s">
        <v>58</v>
      </c>
      <c r="C54" s="1" t="s">
        <v>279</v>
      </c>
      <c r="D54" s="16" t="str" cm="1">
        <f t="array" aca="1" ref="D54" ca="1">IF(ISBLANK($A54),"-",IF(ISBLANK($C54),"E4",IF(ISNA(MATCH($C54,ISCode,0)),IF(ISNA(MATCH($C54,BSCode,0)),"E2",IF(COUNTIF(BSCode,$C54)&gt;1,"E5","-")),IF(COUNTIF(ISCode,$C54)&gt;1,"E5","-"))))</f>
        <v>-</v>
      </c>
    </row>
    <row r="55" spans="1:4" ht="16" customHeight="1" x14ac:dyDescent="0.25">
      <c r="A55" s="14" t="s">
        <v>216</v>
      </c>
      <c r="B55" s="14" t="s">
        <v>59</v>
      </c>
      <c r="C55" s="1" t="s">
        <v>280</v>
      </c>
      <c r="D55" s="16" t="str" cm="1">
        <f t="array" aca="1" ref="D55" ca="1">IF(ISBLANK($A55),"-",IF(ISBLANK($C55),"E4",IF(ISNA(MATCH($C55,ISCode,0)),IF(ISNA(MATCH($C55,BSCode,0)),"E2",IF(COUNTIF(BSCode,$C55)&gt;1,"E5","-")),IF(COUNTIF(ISCode,$C55)&gt;1,"E5","-"))))</f>
        <v>-</v>
      </c>
    </row>
    <row r="56" spans="1:4" ht="16" customHeight="1" x14ac:dyDescent="0.25">
      <c r="A56" s="14" t="s">
        <v>217</v>
      </c>
      <c r="B56" s="14" t="s">
        <v>60</v>
      </c>
      <c r="C56" s="1" t="s">
        <v>281</v>
      </c>
      <c r="D56" s="16" t="str" cm="1">
        <f t="array" aca="1" ref="D56" ca="1">IF(ISBLANK($A56),"-",IF(ISBLANK($C56),"E4",IF(ISNA(MATCH($C56,ISCode,0)),IF(ISNA(MATCH($C56,BSCode,0)),"E2",IF(COUNTIF(BSCode,$C56)&gt;1,"E5","-")),IF(COUNTIF(ISCode,$C56)&gt;1,"E5","-"))))</f>
        <v>-</v>
      </c>
    </row>
    <row r="57" spans="1:4" ht="16" customHeight="1" x14ac:dyDescent="0.25">
      <c r="A57" s="14" t="s">
        <v>218</v>
      </c>
      <c r="B57" s="14" t="s">
        <v>61</v>
      </c>
      <c r="C57" s="1" t="s">
        <v>282</v>
      </c>
      <c r="D57" s="16" t="str" cm="1">
        <f t="array" aca="1" ref="D57" ca="1">IF(ISBLANK($A57),"-",IF(ISBLANK($C57),"E4",IF(ISNA(MATCH($C57,ISCode,0)),IF(ISNA(MATCH($C57,BSCode,0)),"E2",IF(COUNTIF(BSCode,$C57)&gt;1,"E5","-")),IF(COUNTIF(ISCode,$C57)&gt;1,"E5","-"))))</f>
        <v>-</v>
      </c>
    </row>
    <row r="58" spans="1:4" ht="16" customHeight="1" x14ac:dyDescent="0.25">
      <c r="A58" s="14" t="s">
        <v>219</v>
      </c>
      <c r="B58" s="14" t="s">
        <v>62</v>
      </c>
      <c r="C58" s="1" t="s">
        <v>283</v>
      </c>
      <c r="D58" s="16" t="str" cm="1">
        <f t="array" aca="1" ref="D58" ca="1">IF(ISBLANK($A58),"-",IF(ISBLANK($C58),"E4",IF(ISNA(MATCH($C58,ISCode,0)),IF(ISNA(MATCH($C58,BSCode,0)),"E2",IF(COUNTIF(BSCode,$C58)&gt;1,"E5","-")),IF(COUNTIF(ISCode,$C58)&gt;1,"E5","-"))))</f>
        <v>-</v>
      </c>
    </row>
    <row r="59" spans="1:4" ht="16" customHeight="1" x14ac:dyDescent="0.25">
      <c r="A59" s="14" t="s">
        <v>220</v>
      </c>
      <c r="B59" s="14" t="s">
        <v>63</v>
      </c>
      <c r="C59" s="1" t="s">
        <v>284</v>
      </c>
      <c r="D59" s="16" t="str" cm="1">
        <f t="array" aca="1" ref="D59" ca="1">IF(ISBLANK($A59),"-",IF(ISBLANK($C59),"E4",IF(ISNA(MATCH($C59,ISCode,0)),IF(ISNA(MATCH($C59,BSCode,0)),"E2",IF(COUNTIF(BSCode,$C59)&gt;1,"E5","-")),IF(COUNTIF(ISCode,$C59)&gt;1,"E5","-"))))</f>
        <v>-</v>
      </c>
    </row>
    <row r="60" spans="1:4" ht="16" customHeight="1" x14ac:dyDescent="0.25">
      <c r="A60" s="14" t="s">
        <v>221</v>
      </c>
      <c r="B60" s="14" t="s">
        <v>64</v>
      </c>
      <c r="C60" s="1" t="s">
        <v>285</v>
      </c>
      <c r="D60" s="16" t="str" cm="1">
        <f t="array" aca="1" ref="D60" ca="1">IF(ISBLANK($A60),"-",IF(ISBLANK($C60),"E4",IF(ISNA(MATCH($C60,ISCode,0)),IF(ISNA(MATCH($C60,BSCode,0)),"E2",IF(COUNTIF(BSCode,$C60)&gt;1,"E5","-")),IF(COUNTIF(ISCode,$C60)&gt;1,"E5","-"))))</f>
        <v>-</v>
      </c>
    </row>
    <row r="61" spans="1:4" ht="16" customHeight="1" x14ac:dyDescent="0.25">
      <c r="A61" s="14" t="s">
        <v>222</v>
      </c>
      <c r="B61" s="14" t="s">
        <v>65</v>
      </c>
      <c r="C61" s="1" t="s">
        <v>286</v>
      </c>
      <c r="D61" s="16" t="str" cm="1">
        <f t="array" aca="1" ref="D61" ca="1">IF(ISBLANK($A61),"-",IF(ISBLANK($C61),"E4",IF(ISNA(MATCH($C61,ISCode,0)),IF(ISNA(MATCH($C61,BSCode,0)),"E2",IF(COUNTIF(BSCode,$C61)&gt;1,"E5","-")),IF(COUNTIF(ISCode,$C61)&gt;1,"E5","-"))))</f>
        <v>-</v>
      </c>
    </row>
    <row r="62" spans="1:4" ht="16" customHeight="1" x14ac:dyDescent="0.25">
      <c r="A62" s="14" t="s">
        <v>223</v>
      </c>
      <c r="B62" s="14" t="s">
        <v>224</v>
      </c>
      <c r="C62" s="1" t="s">
        <v>287</v>
      </c>
      <c r="D62" s="16" t="str" cm="1">
        <f t="array" aca="1" ref="D62" ca="1">IF(ISBLANK($A62),"-",IF(ISBLANK($C62),"E4",IF(ISNA(MATCH($C62,ISCode,0)),IF(ISNA(MATCH($C62,BSCode,0)),"E2",IF(COUNTIF(BSCode,$C62)&gt;1,"E5","-")),IF(COUNTIF(ISCode,$C62)&gt;1,"E5","-"))))</f>
        <v>-</v>
      </c>
    </row>
    <row r="63" spans="1:4" ht="16" customHeight="1" x14ac:dyDescent="0.25">
      <c r="A63" s="14" t="s">
        <v>225</v>
      </c>
      <c r="B63" s="14" t="s">
        <v>226</v>
      </c>
      <c r="C63" s="1" t="s">
        <v>288</v>
      </c>
      <c r="D63" s="16" t="str" cm="1">
        <f t="array" aca="1" ref="D63" ca="1">IF(ISBLANK($A63),"-",IF(ISBLANK($C63),"E4",IF(ISNA(MATCH($C63,ISCode,0)),IF(ISNA(MATCH($C63,BSCode,0)),"E2",IF(COUNTIF(BSCode,$C63)&gt;1,"E5","-")),IF(COUNTIF(ISCode,$C63)&gt;1,"E5","-"))))</f>
        <v>-</v>
      </c>
    </row>
    <row r="64" spans="1:4" ht="16" customHeight="1" x14ac:dyDescent="0.25">
      <c r="A64" s="14" t="s">
        <v>227</v>
      </c>
      <c r="B64" s="14" t="s">
        <v>66</v>
      </c>
      <c r="C64" s="1" t="s">
        <v>289</v>
      </c>
      <c r="D64" s="16" t="str" cm="1">
        <f t="array" aca="1" ref="D64" ca="1">IF(ISBLANK($A64),"-",IF(ISBLANK($C64),"E4",IF(ISNA(MATCH($C64,ISCode,0)),IF(ISNA(MATCH($C64,BSCode,0)),"E2",IF(COUNTIF(BSCode,$C64)&gt;1,"E5","-")),IF(COUNTIF(ISCode,$C64)&gt;1,"E5","-"))))</f>
        <v>-</v>
      </c>
    </row>
    <row r="65" spans="1:4" s="21" customFormat="1" ht="16" customHeight="1" x14ac:dyDescent="0.25">
      <c r="A65" s="14" t="s">
        <v>228</v>
      </c>
      <c r="B65" s="14" t="s">
        <v>229</v>
      </c>
      <c r="C65" s="1" t="s">
        <v>290</v>
      </c>
      <c r="D65" s="16" t="str" cm="1">
        <f t="array" aca="1" ref="D65" ca="1">IF(ISBLANK($A65),"-",IF(ISBLANK($C65),"E4",IF(ISNA(MATCH($C65,ISCode,0)),IF(ISNA(MATCH($C65,BSCode,0)),"E2",IF(COUNTIF(BSCode,$C65)&gt;1,"E5","-")),IF(COUNTIF(ISCode,$C65)&gt;1,"E5","-"))))</f>
        <v>-</v>
      </c>
    </row>
    <row r="66" spans="1:4" s="21" customFormat="1" ht="16" customHeight="1" x14ac:dyDescent="0.25">
      <c r="A66" s="14" t="s">
        <v>197</v>
      </c>
      <c r="B66" s="14" t="s">
        <v>23</v>
      </c>
      <c r="C66" s="1" t="s">
        <v>243</v>
      </c>
      <c r="D66" s="16" t="str" cm="1">
        <f t="array" aca="1" ref="D66" ca="1">IF(ISBLANK($A66),"-",IF(ISBLANK($C66),"E4",IF(ISNA(MATCH($C66,ISCode,0)),IF(ISNA(MATCH($C66,BSCode,0)),"E2",IF(COUNTIF(BSCode,$C66)&gt;1,"E5","-")),IF(COUNTIF(ISCode,$C66)&gt;1,"E5","-"))))</f>
        <v>-</v>
      </c>
    </row>
    <row r="67" spans="1:4" s="21" customFormat="1" ht="16" customHeight="1" x14ac:dyDescent="0.25">
      <c r="A67" s="14" t="s">
        <v>198</v>
      </c>
      <c r="B67" s="14" t="s">
        <v>67</v>
      </c>
      <c r="C67" s="1" t="s">
        <v>244</v>
      </c>
      <c r="D67" s="16" t="str" cm="1">
        <f t="array" aca="1" ref="D67" ca="1">IF(ISBLANK($A67),"-",IF(ISBLANK($C67),"E4",IF(ISNA(MATCH($C67,ISCode,0)),IF(ISNA(MATCH($C67,BSCode,0)),"E2",IF(COUNTIF(BSCode,$C67)&gt;1,"E5","-")),IF(COUNTIF(ISCode,$C67)&gt;1,"E5","-"))))</f>
        <v>-</v>
      </c>
    </row>
    <row r="68" spans="1:4" s="21" customFormat="1" ht="16" customHeight="1" x14ac:dyDescent="0.25">
      <c r="A68" s="14" t="s">
        <v>200</v>
      </c>
      <c r="B68" s="14" t="s">
        <v>22</v>
      </c>
      <c r="C68" s="1" t="s">
        <v>245</v>
      </c>
      <c r="D68" s="16" t="str" cm="1">
        <f t="array" aca="1" ref="D68" ca="1">IF(ISBLANK($A68),"-",IF(ISBLANK($C68),"E4",IF(ISNA(MATCH($C68,ISCode,0)),IF(ISNA(MATCH($C68,BSCode,0)),"E2",IF(COUNTIF(BSCode,$C68)&gt;1,"E5","-")),IF(COUNTIF(ISCode,$C68)&gt;1,"E5","-"))))</f>
        <v>-</v>
      </c>
    </row>
    <row r="69" spans="1:4" s="21" customFormat="1" ht="16" customHeight="1" x14ac:dyDescent="0.25">
      <c r="A69" s="14" t="s">
        <v>230</v>
      </c>
      <c r="B69" s="14" t="s">
        <v>231</v>
      </c>
      <c r="C69" s="1" t="s">
        <v>245</v>
      </c>
      <c r="D69" s="16" t="str" cm="1">
        <f t="array" aca="1" ref="D69" ca="1">IF(ISBLANK($A69),"-",IF(ISBLANK($C69),"E4",IF(ISNA(MATCH($C69,ISCode,0)),IF(ISNA(MATCH($C69,BSCode,0)),"E2",IF(COUNTIF(BSCode,$C69)&gt;1,"E5","-")),IF(COUNTIF(ISCode,$C69)&gt;1,"E5","-"))))</f>
        <v>-</v>
      </c>
    </row>
    <row r="70" spans="1:4" s="21" customFormat="1" ht="16" customHeight="1" x14ac:dyDescent="0.25">
      <c r="A70" s="14" t="s">
        <v>232</v>
      </c>
      <c r="B70" s="14" t="s">
        <v>233</v>
      </c>
      <c r="C70" s="1" t="s">
        <v>245</v>
      </c>
      <c r="D70" s="16" t="str" cm="1">
        <f t="array" aca="1" ref="D70" ca="1">IF(ISBLANK($A70),"-",IF(ISBLANK($C70),"E4",IF(ISNA(MATCH($C70,ISCode,0)),IF(ISNA(MATCH($C70,BSCode,0)),"E2",IF(COUNTIF(BSCode,$C70)&gt;1,"E5","-")),IF(COUNTIF(ISCode,$C70)&gt;1,"E5","-"))))</f>
        <v>-</v>
      </c>
    </row>
    <row r="71" spans="1:4" s="21" customFormat="1" ht="16" customHeight="1" x14ac:dyDescent="0.25">
      <c r="A71" s="14" t="s">
        <v>201</v>
      </c>
      <c r="B71" s="14" t="s">
        <v>4</v>
      </c>
      <c r="C71" s="1" t="s">
        <v>203</v>
      </c>
      <c r="D71" s="16" t="str" cm="1">
        <f t="array" aca="1" ref="D71" ca="1">IF(ISBLANK($A71),"-",IF(ISBLANK($C71),"E4",IF(ISNA(MATCH($C71,ISCode,0)),IF(ISNA(MATCH($C71,BSCode,0)),"E2",IF(COUNTIF(BSCode,$C71)&gt;1,"E5","-")),IF(COUNTIF(ISCode,$C71)&gt;1,"E5","-"))))</f>
        <v>-</v>
      </c>
    </row>
    <row r="72" spans="1:4" s="21" customFormat="1" ht="16" customHeight="1" x14ac:dyDescent="0.25">
      <c r="A72" s="14" t="s">
        <v>202</v>
      </c>
      <c r="B72" s="14" t="s">
        <v>5</v>
      </c>
      <c r="C72" s="1" t="s">
        <v>246</v>
      </c>
      <c r="D72" s="16" t="str" cm="1">
        <f t="array" aca="1" ref="D72" ca="1">IF(ISBLANK($A72),"-",IF(ISBLANK($C72),"E4",IF(ISNA(MATCH($C72,ISCode,0)),IF(ISNA(MATCH($C72,BSCode,0)),"E2",IF(COUNTIF(BSCode,$C72)&gt;1,"E5","-")),IF(COUNTIF(ISCode,$C72)&gt;1,"E5","-"))))</f>
        <v>-</v>
      </c>
    </row>
    <row r="73" spans="1:4" ht="16" customHeight="1" x14ac:dyDescent="0.25">
      <c r="A73" s="14" t="s">
        <v>145</v>
      </c>
      <c r="B73" s="14" t="s">
        <v>68</v>
      </c>
      <c r="C73" s="1" t="s">
        <v>253</v>
      </c>
      <c r="D73" s="16" t="str" cm="1">
        <f t="array" aca="1" ref="D73" ca="1">IF(ISBLANK($A73),"-",IF(ISBLANK($C73),"E4",IF(ISNA(MATCH($C73,ISCode,0)),IF(ISNA(MATCH($C73,BSCode,0)),"E2",IF(COUNTIF(BSCode,$C73)&gt;1,"E5","-")),IF(COUNTIF(ISCode,$C73)&gt;1,"E5","-"))))</f>
        <v>-</v>
      </c>
    </row>
    <row r="74" spans="1:4" ht="16" customHeight="1" x14ac:dyDescent="0.25">
      <c r="A74" s="14" t="s">
        <v>146</v>
      </c>
      <c r="B74" s="14" t="s">
        <v>69</v>
      </c>
      <c r="C74" s="1" t="s">
        <v>253</v>
      </c>
      <c r="D74" s="16" t="str" cm="1">
        <f t="array" aca="1" ref="D74" ca="1">IF(ISBLANK($A74),"-",IF(ISBLANK($C74),"E4",IF(ISNA(MATCH($C74,ISCode,0)),IF(ISNA(MATCH($C74,BSCode,0)),"E2",IF(COUNTIF(BSCode,$C74)&gt;1,"E5","-")),IF(COUNTIF(ISCode,$C74)&gt;1,"E5","-"))))</f>
        <v>-</v>
      </c>
    </row>
    <row r="75" spans="1:4" ht="16" customHeight="1" x14ac:dyDescent="0.25">
      <c r="A75" s="14" t="s">
        <v>147</v>
      </c>
      <c r="B75" s="14" t="s">
        <v>70</v>
      </c>
      <c r="C75" s="1" t="s">
        <v>253</v>
      </c>
      <c r="D75" s="16" t="str" cm="1">
        <f t="array" aca="1" ref="D75" ca="1">IF(ISBLANK($A75),"-",IF(ISBLANK($C75),"E4",IF(ISNA(MATCH($C75,ISCode,0)),IF(ISNA(MATCH($C75,BSCode,0)),"E2",IF(COUNTIF(BSCode,$C75)&gt;1,"E5","-")),IF(COUNTIF(ISCode,$C75)&gt;1,"E5","-"))))</f>
        <v>-</v>
      </c>
    </row>
    <row r="76" spans="1:4" ht="16" customHeight="1" x14ac:dyDescent="0.25">
      <c r="A76" s="14" t="s">
        <v>148</v>
      </c>
      <c r="B76" s="14" t="s">
        <v>149</v>
      </c>
      <c r="C76" s="1" t="s">
        <v>253</v>
      </c>
      <c r="D76" s="16" t="str" cm="1">
        <f t="array" aca="1" ref="D76" ca="1">IF(ISBLANK($A76),"-",IF(ISBLANK($C76),"E4",IF(ISNA(MATCH($C76,ISCode,0)),IF(ISNA(MATCH($C76,BSCode,0)),"E2",IF(COUNTIF(BSCode,$C76)&gt;1,"E5","-")),IF(COUNTIF(ISCode,$C76)&gt;1,"E5","-"))))</f>
        <v>-</v>
      </c>
    </row>
    <row r="77" spans="1:4" ht="16" customHeight="1" x14ac:dyDescent="0.25">
      <c r="A77" s="14" t="s">
        <v>150</v>
      </c>
      <c r="B77" s="14" t="s">
        <v>151</v>
      </c>
      <c r="C77" s="1" t="s">
        <v>253</v>
      </c>
      <c r="D77" s="16" t="str" cm="1">
        <f t="array" aca="1" ref="D77" ca="1">IF(ISBLANK($A77),"-",IF(ISBLANK($C77),"E4",IF(ISNA(MATCH($C77,ISCode,0)),IF(ISNA(MATCH($C77,BSCode,0)),"E2",IF(COUNTIF(BSCode,$C77)&gt;1,"E5","-")),IF(COUNTIF(ISCode,$C77)&gt;1,"E5","-"))))</f>
        <v>-</v>
      </c>
    </row>
    <row r="78" spans="1:4" ht="16" customHeight="1" x14ac:dyDescent="0.25">
      <c r="A78" s="14" t="s">
        <v>161</v>
      </c>
      <c r="B78" s="14" t="s">
        <v>71</v>
      </c>
      <c r="C78" s="1" t="s">
        <v>257</v>
      </c>
      <c r="D78" s="16" t="str" cm="1">
        <f t="array" aca="1" ref="D78" ca="1">IF(ISBLANK($A78),"-",IF(ISBLANK($C78),"E4",IF(ISNA(MATCH($C78,ISCode,0)),IF(ISNA(MATCH($C78,BSCode,0)),"E2",IF(COUNTIF(BSCode,$C78)&gt;1,"E5","-")),IF(COUNTIF(ISCode,$C78)&gt;1,"E5","-"))))</f>
        <v>-</v>
      </c>
    </row>
    <row r="79" spans="1:4" ht="16" customHeight="1" x14ac:dyDescent="0.25">
      <c r="A79" s="14" t="s">
        <v>156</v>
      </c>
      <c r="B79" s="14" t="s">
        <v>26</v>
      </c>
      <c r="C79" s="1" t="s">
        <v>255</v>
      </c>
      <c r="D79" s="16" t="str" cm="1">
        <f t="array" aca="1" ref="D79" ca="1">IF(ISBLANK($A79),"-",IF(ISBLANK($C79),"E4",IF(ISNA(MATCH($C79,ISCode,0)),IF(ISNA(MATCH($C79,BSCode,0)),"E2",IF(COUNTIF(BSCode,$C79)&gt;1,"E5","-")),IF(COUNTIF(ISCode,$C79)&gt;1,"E5","-"))))</f>
        <v>-</v>
      </c>
    </row>
    <row r="80" spans="1:4" ht="16" customHeight="1" x14ac:dyDescent="0.25">
      <c r="A80" s="14" t="s">
        <v>163</v>
      </c>
      <c r="B80" s="14" t="s">
        <v>29</v>
      </c>
      <c r="C80" s="1" t="s">
        <v>259</v>
      </c>
      <c r="D80" s="16" t="str" cm="1">
        <f t="array" aca="1" ref="D80" ca="1">IF(ISBLANK($A80),"-",IF(ISBLANK($C80),"E4",IF(ISNA(MATCH($C80,ISCode,0)),IF(ISNA(MATCH($C80,BSCode,0)),"E2",IF(COUNTIF(BSCode,$C80)&gt;1,"E5","-")),IF(COUNTIF(ISCode,$C80)&gt;1,"E5","-"))))</f>
        <v>-</v>
      </c>
    </row>
    <row r="81" spans="1:4" ht="16" customHeight="1" x14ac:dyDescent="0.25">
      <c r="A81" s="14" t="s">
        <v>183</v>
      </c>
      <c r="B81" s="14" t="s">
        <v>12</v>
      </c>
      <c r="C81" s="1" t="s">
        <v>268</v>
      </c>
      <c r="D81" s="16" t="str" cm="1">
        <f t="array" aca="1" ref="D81" ca="1">IF(ISBLANK($A81),"-",IF(ISBLANK($C81),"E4",IF(ISNA(MATCH($C81,ISCode,0)),IF(ISNA(MATCH($C81,BSCode,0)),"E2",IF(COUNTIF(BSCode,$C81)&gt;1,"E5","-")),IF(COUNTIF(ISCode,$C81)&gt;1,"E5","-"))))</f>
        <v>-</v>
      </c>
    </row>
    <row r="82" spans="1:4" s="4" customFormat="1" ht="16" customHeight="1" x14ac:dyDescent="0.25">
      <c r="A82" s="2" t="s">
        <v>170</v>
      </c>
      <c r="B82" s="2"/>
      <c r="C82" s="22"/>
      <c r="D82" s="23"/>
    </row>
  </sheetData>
  <pageMargins left="0.55118110236220474" right="0.55118110236220474" top="0.55118110236220474" bottom="0.55118110236220474" header="0.39370078740157483" footer="0.39370078740157483"/>
  <pageSetup paperSize="9" fitToHeight="0" orientation="portrait" r:id="rId1"/>
  <headerFooter>
    <oddFooter>&amp;C&amp;9Page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DA8A5-CBA9-46E9-B6D7-2BD178BEE0C5}">
  <sheetPr>
    <tabColor rgb="FF00B050"/>
    <pageSetUpPr fitToPage="1"/>
  </sheetPr>
  <dimension ref="A1:Q121"/>
  <sheetViews>
    <sheetView showGridLines="0" tabSelected="1" zoomScale="90" zoomScaleNormal="90" workbookViewId="0">
      <selection activeCell="M9" sqref="M9"/>
    </sheetView>
  </sheetViews>
  <sheetFormatPr defaultColWidth="9.08984375" defaultRowHeight="23.4" customHeight="1" x14ac:dyDescent="0.25"/>
  <cols>
    <col min="1" max="1" width="5.81640625" style="125" customWidth="1"/>
    <col min="2" max="9" width="17.81640625" style="125" customWidth="1"/>
    <col min="10" max="11" width="17.81640625" style="162" customWidth="1"/>
    <col min="12" max="12" width="5.81640625" style="125" customWidth="1"/>
    <col min="13" max="13" width="12.81640625" style="125" customWidth="1"/>
    <col min="14" max="18" width="17.81640625" style="125" customWidth="1"/>
    <col min="19" max="16384" width="9.08984375" style="125"/>
  </cols>
  <sheetData>
    <row r="1" spans="1:12" ht="23.4" customHeight="1" thickBot="1" x14ac:dyDescent="0.3">
      <c r="A1" s="123"/>
      <c r="B1" s="123"/>
      <c r="C1" s="123"/>
      <c r="D1" s="123"/>
      <c r="E1" s="123"/>
      <c r="F1" s="123"/>
      <c r="G1" s="123"/>
      <c r="H1" s="123"/>
      <c r="I1" s="123"/>
      <c r="J1" s="124"/>
      <c r="K1" s="124"/>
      <c r="L1" s="123"/>
    </row>
    <row r="2" spans="1:12" ht="23.4" customHeight="1" thickTop="1" x14ac:dyDescent="0.25">
      <c r="A2" s="123"/>
      <c r="B2" s="273" t="s">
        <v>308</v>
      </c>
      <c r="C2" s="274"/>
      <c r="D2" s="253" t="str">
        <f>$A$55</f>
        <v>Example (Pty) Limited</v>
      </c>
      <c r="E2" s="254"/>
      <c r="F2" s="254"/>
      <c r="G2" s="255"/>
      <c r="H2" s="247" t="s">
        <v>360</v>
      </c>
      <c r="I2" s="248"/>
      <c r="J2" s="248"/>
      <c r="K2" s="248"/>
      <c r="L2" s="123"/>
    </row>
    <row r="3" spans="1:12" ht="23.4" customHeight="1" thickBot="1" x14ac:dyDescent="0.3">
      <c r="A3" s="123"/>
      <c r="B3" s="275"/>
      <c r="C3" s="276"/>
      <c r="D3" s="256"/>
      <c r="E3" s="257"/>
      <c r="F3" s="257"/>
      <c r="G3" s="258"/>
      <c r="H3" s="247"/>
      <c r="I3" s="248"/>
      <c r="J3" s="248"/>
      <c r="K3" s="248"/>
      <c r="L3" s="123"/>
    </row>
    <row r="4" spans="1:12" ht="23.4" customHeight="1" thickTop="1" x14ac:dyDescent="0.3">
      <c r="A4" s="123"/>
      <c r="B4" s="275"/>
      <c r="C4" s="276"/>
      <c r="D4" s="259" t="str">
        <f>$A$56</f>
        <v>AS AT 28 FEBRUARY 2026</v>
      </c>
      <c r="E4" s="260"/>
      <c r="F4" s="260"/>
      <c r="G4" s="261"/>
      <c r="H4" s="126"/>
      <c r="I4" s="126"/>
      <c r="J4" s="127" t="str">
        <f>IF($C$57="Prior","Actual","Forecast")</f>
        <v>Forecast</v>
      </c>
      <c r="K4" s="128" t="str">
        <f>IF($C$57="Prior","Prior","Actual")</f>
        <v>Actual</v>
      </c>
      <c r="L4" s="123"/>
    </row>
    <row r="5" spans="1:12" ht="23.4" customHeight="1" thickBot="1" x14ac:dyDescent="0.3">
      <c r="A5" s="123"/>
      <c r="B5" s="277"/>
      <c r="C5" s="278"/>
      <c r="D5" s="262"/>
      <c r="E5" s="263"/>
      <c r="F5" s="263"/>
      <c r="G5" s="264"/>
      <c r="H5" s="129" t="str">
        <f>Dashboard!A74</f>
        <v>Turnover</v>
      </c>
      <c r="I5" s="129"/>
      <c r="J5" s="130">
        <f>D74</f>
        <v>-98800.255999999994</v>
      </c>
      <c r="K5" s="131">
        <f t="shared" ref="K5:K12" si="0">E74</f>
        <v>-123500.31999999999</v>
      </c>
      <c r="L5" s="123"/>
    </row>
    <row r="6" spans="1:12" ht="23.4" customHeight="1" thickTop="1" x14ac:dyDescent="0.25">
      <c r="A6" s="123"/>
      <c r="B6" s="265"/>
      <c r="C6" s="265"/>
      <c r="D6" s="265"/>
      <c r="E6" s="266"/>
      <c r="F6" s="269"/>
      <c r="G6" s="270"/>
      <c r="H6" s="129" t="str">
        <f>Dashboard!A75</f>
        <v>Gross profit</v>
      </c>
      <c r="I6" s="129"/>
      <c r="J6" s="130">
        <f t="shared" ref="J6:J12" si="1">D75</f>
        <v>-259939.68</v>
      </c>
      <c r="K6" s="131">
        <f t="shared" si="0"/>
        <v>-324924.59999999998</v>
      </c>
      <c r="L6" s="123"/>
    </row>
    <row r="7" spans="1:12" ht="23.4" customHeight="1" x14ac:dyDescent="0.25">
      <c r="A7" s="123"/>
      <c r="B7" s="267"/>
      <c r="C7" s="267"/>
      <c r="D7" s="267"/>
      <c r="E7" s="268"/>
      <c r="F7" s="271"/>
      <c r="G7" s="272"/>
      <c r="H7" s="129" t="str">
        <f>Dashboard!A76</f>
        <v>Operating Expenses</v>
      </c>
      <c r="I7" s="129"/>
      <c r="J7" s="130">
        <f t="shared" si="1"/>
        <v>247955.67199999999</v>
      </c>
      <c r="K7" s="131">
        <f t="shared" si="0"/>
        <v>309944.58999999997</v>
      </c>
      <c r="L7" s="123"/>
    </row>
    <row r="8" spans="1:12" ht="23.4" customHeight="1" x14ac:dyDescent="0.25">
      <c r="A8" s="123"/>
      <c r="B8" s="267"/>
      <c r="C8" s="267"/>
      <c r="D8" s="267"/>
      <c r="E8" s="268"/>
      <c r="F8" s="271"/>
      <c r="G8" s="272"/>
      <c r="H8" s="129" t="str">
        <f>Dashboard!A77</f>
        <v>Interest Paid</v>
      </c>
      <c r="I8" s="129"/>
      <c r="J8" s="130">
        <f t="shared" si="1"/>
        <v>3993.752</v>
      </c>
      <c r="K8" s="131">
        <f t="shared" si="0"/>
        <v>4992.1899999999996</v>
      </c>
      <c r="L8" s="123"/>
    </row>
    <row r="9" spans="1:12" ht="23.4" customHeight="1" x14ac:dyDescent="0.25">
      <c r="A9" s="123"/>
      <c r="B9" s="267"/>
      <c r="C9" s="267"/>
      <c r="D9" s="267"/>
      <c r="E9" s="268"/>
      <c r="F9" s="271"/>
      <c r="G9" s="272"/>
      <c r="H9" s="129" t="str">
        <f>Dashboard!A78</f>
        <v>Taxation Paid</v>
      </c>
      <c r="I9" s="129"/>
      <c r="J9" s="130">
        <f t="shared" si="1"/>
        <v>10525.416000000001</v>
      </c>
      <c r="K9" s="131">
        <f t="shared" si="0"/>
        <v>13156.77</v>
      </c>
      <c r="L9" s="123"/>
    </row>
    <row r="10" spans="1:12" ht="23.4" customHeight="1" x14ac:dyDescent="0.25">
      <c r="A10" s="123"/>
      <c r="B10" s="267"/>
      <c r="C10" s="267"/>
      <c r="D10" s="267"/>
      <c r="E10" s="268"/>
      <c r="F10" s="271"/>
      <c r="G10" s="272"/>
      <c r="H10" s="129" t="str">
        <f>Dashboard!A79</f>
        <v>Profit / (Loss) for the period</v>
      </c>
      <c r="I10" s="129"/>
      <c r="J10" s="130">
        <f t="shared" si="1"/>
        <v>-524813.98399999994</v>
      </c>
      <c r="K10" s="131">
        <f t="shared" si="0"/>
        <v>-656017.48</v>
      </c>
      <c r="L10" s="123"/>
    </row>
    <row r="11" spans="1:12" ht="23.4" customHeight="1" x14ac:dyDescent="0.25">
      <c r="A11" s="123"/>
      <c r="B11" s="267"/>
      <c r="C11" s="267"/>
      <c r="D11" s="267"/>
      <c r="E11" s="268"/>
      <c r="F11" s="271"/>
      <c r="G11" s="272"/>
      <c r="H11" s="129" t="str">
        <f>Dashboard!A80</f>
        <v>Interest Cover</v>
      </c>
      <c r="I11" s="129"/>
      <c r="J11" s="136">
        <f t="shared" si="1"/>
        <v>-127.7732858725329</v>
      </c>
      <c r="K11" s="137">
        <f t="shared" si="0"/>
        <v>-127.77328587253291</v>
      </c>
      <c r="L11" s="123"/>
    </row>
    <row r="12" spans="1:12" ht="23.4" customHeight="1" x14ac:dyDescent="0.25">
      <c r="A12" s="123"/>
      <c r="B12" s="267"/>
      <c r="C12" s="267"/>
      <c r="D12" s="267"/>
      <c r="E12" s="268"/>
      <c r="F12" s="271"/>
      <c r="G12" s="272"/>
      <c r="H12" s="129" t="str">
        <f>Dashboard!A81</f>
        <v>Return on Equity (ROE)</v>
      </c>
      <c r="I12" s="129"/>
      <c r="J12" s="138">
        <f t="shared" si="1"/>
        <v>-1.1931621481067989</v>
      </c>
      <c r="K12" s="138">
        <f t="shared" si="0"/>
        <v>-1.1931621481067993</v>
      </c>
      <c r="L12" s="123"/>
    </row>
    <row r="13" spans="1:12" ht="23.4" customHeight="1" thickBot="1" x14ac:dyDescent="0.3">
      <c r="A13" s="123"/>
      <c r="B13" s="267"/>
      <c r="C13" s="267"/>
      <c r="D13" s="267"/>
      <c r="E13" s="268"/>
      <c r="F13" s="220"/>
      <c r="G13" s="222"/>
      <c r="H13" s="140"/>
      <c r="I13" s="140"/>
      <c r="J13" s="141"/>
      <c r="K13" s="141"/>
      <c r="L13" s="123"/>
    </row>
    <row r="14" spans="1:12" ht="23.4" customHeight="1" thickTop="1" x14ac:dyDescent="0.25">
      <c r="A14" s="123"/>
      <c r="B14" s="142"/>
      <c r="C14" s="143"/>
      <c r="D14" s="143"/>
      <c r="E14" s="144"/>
      <c r="F14" s="142"/>
      <c r="G14" s="144"/>
      <c r="H14" s="235"/>
      <c r="I14" s="145"/>
      <c r="J14" s="238"/>
      <c r="K14" s="239"/>
      <c r="L14" s="123"/>
    </row>
    <row r="15" spans="1:12" ht="23.4" customHeight="1" x14ac:dyDescent="0.25">
      <c r="A15" s="123"/>
      <c r="B15" s="146"/>
      <c r="E15" s="147"/>
      <c r="F15" s="146"/>
      <c r="G15" s="147"/>
      <c r="H15" s="236"/>
      <c r="I15" s="148"/>
      <c r="J15" s="240"/>
      <c r="K15" s="241"/>
      <c r="L15" s="123"/>
    </row>
    <row r="16" spans="1:12" ht="23.4" customHeight="1" x14ac:dyDescent="0.25">
      <c r="A16" s="123"/>
      <c r="B16" s="146"/>
      <c r="E16" s="147"/>
      <c r="F16" s="146"/>
      <c r="G16" s="147"/>
      <c r="H16" s="236"/>
      <c r="I16" s="148"/>
      <c r="J16" s="240"/>
      <c r="K16" s="241"/>
      <c r="L16" s="123"/>
    </row>
    <row r="17" spans="1:12" ht="23.4" customHeight="1" x14ac:dyDescent="0.25">
      <c r="A17" s="123"/>
      <c r="B17" s="146"/>
      <c r="E17" s="147"/>
      <c r="F17" s="146"/>
      <c r="G17" s="147"/>
      <c r="H17" s="236"/>
      <c r="I17" s="148"/>
      <c r="J17" s="240"/>
      <c r="K17" s="241"/>
      <c r="L17" s="123"/>
    </row>
    <row r="18" spans="1:12" ht="23.4" customHeight="1" x14ac:dyDescent="0.25">
      <c r="A18" s="123"/>
      <c r="B18" s="146"/>
      <c r="E18" s="147"/>
      <c r="F18" s="146"/>
      <c r="G18" s="147"/>
      <c r="H18" s="236"/>
      <c r="I18" s="148"/>
      <c r="J18" s="240"/>
      <c r="K18" s="241"/>
      <c r="L18" s="123"/>
    </row>
    <row r="19" spans="1:12" ht="23.4" customHeight="1" x14ac:dyDescent="0.25">
      <c r="A19" s="123"/>
      <c r="B19" s="146"/>
      <c r="E19" s="147"/>
      <c r="F19" s="146"/>
      <c r="G19" s="147"/>
      <c r="H19" s="236"/>
      <c r="I19" s="148"/>
      <c r="J19" s="240"/>
      <c r="K19" s="241"/>
      <c r="L19" s="123"/>
    </row>
    <row r="20" spans="1:12" ht="23.4" customHeight="1" x14ac:dyDescent="0.25">
      <c r="A20" s="123"/>
      <c r="B20" s="146"/>
      <c r="E20" s="147"/>
      <c r="F20" s="146"/>
      <c r="G20" s="147"/>
      <c r="H20" s="236"/>
      <c r="I20" s="148"/>
      <c r="J20" s="240"/>
      <c r="K20" s="241"/>
      <c r="L20" s="123"/>
    </row>
    <row r="21" spans="1:12" ht="23.4" customHeight="1" thickBot="1" x14ac:dyDescent="0.3">
      <c r="A21" s="123"/>
      <c r="B21" s="149"/>
      <c r="C21" s="150"/>
      <c r="D21" s="150"/>
      <c r="E21" s="151"/>
      <c r="F21" s="149"/>
      <c r="G21" s="151"/>
      <c r="H21" s="237"/>
      <c r="I21" s="152"/>
      <c r="J21" s="242"/>
      <c r="K21" s="243"/>
      <c r="L21" s="123"/>
    </row>
    <row r="22" spans="1:12" ht="23.4" customHeight="1" thickTop="1" x14ac:dyDescent="0.25">
      <c r="A22" s="123"/>
      <c r="B22" s="244" t="s">
        <v>359</v>
      </c>
      <c r="C22" s="245"/>
      <c r="D22" s="245"/>
      <c r="E22" s="245"/>
      <c r="F22" s="246"/>
      <c r="G22" s="244" t="s">
        <v>310</v>
      </c>
      <c r="H22" s="245"/>
      <c r="I22" s="245"/>
      <c r="J22" s="245"/>
      <c r="K22" s="246"/>
      <c r="L22" s="123"/>
    </row>
    <row r="23" spans="1:12" ht="23.4" customHeight="1" x14ac:dyDescent="0.25">
      <c r="A23" s="123"/>
      <c r="B23" s="247"/>
      <c r="C23" s="248"/>
      <c r="D23" s="248"/>
      <c r="E23" s="248"/>
      <c r="F23" s="249"/>
      <c r="G23" s="247"/>
      <c r="H23" s="248"/>
      <c r="I23" s="248"/>
      <c r="J23" s="248"/>
      <c r="K23" s="249"/>
      <c r="L23" s="123"/>
    </row>
    <row r="24" spans="1:12" s="155" customFormat="1" ht="23.4" customHeight="1" x14ac:dyDescent="0.25">
      <c r="A24" s="153"/>
      <c r="B24" s="154"/>
      <c r="D24" s="156" t="str">
        <f>IF($C$57="Prior","Actual","Forecast")</f>
        <v>Forecast</v>
      </c>
      <c r="E24" s="156" t="str">
        <f>IF($C$57="Prior","Prior","Actual")</f>
        <v>Actual</v>
      </c>
      <c r="F24" s="157" t="s">
        <v>311</v>
      </c>
      <c r="G24" s="158" t="s">
        <v>312</v>
      </c>
      <c r="H24" s="250"/>
      <c r="I24" s="251"/>
      <c r="J24" s="252"/>
      <c r="K24" s="134"/>
      <c r="L24" s="153"/>
    </row>
    <row r="25" spans="1:12" ht="23.4" customHeight="1" x14ac:dyDescent="0.25">
      <c r="A25" s="123"/>
      <c r="B25" s="159" t="str" cm="1">
        <f t="array" aca="1" ref="B25" ca="1">OFFSET(B$82,MATCH(ROW(1:1),$H$83:$H$87,0),0,1,1)</f>
        <v>Salaries &amp; Wages - Staff</v>
      </c>
      <c r="C25" s="160"/>
      <c r="D25" s="130" cm="1">
        <f t="array" aca="1" ref="D25" ca="1">OFFSET(D$82,MATCH(ROW(1:1),$H$83:$H$87,0),0,1,1)</f>
        <v>37014.752</v>
      </c>
      <c r="E25" s="130" cm="1">
        <f t="array" aca="1" ref="E25" ca="1">OFFSET(E$82,MATCH(ROW(1:1),$H$83:$H$87,0),0,1,1)</f>
        <v>46268.44</v>
      </c>
      <c r="F25" s="161" cm="1">
        <f t="array" aca="1" ref="F25" ca="1">OFFSET(F$82,MATCH(ROW(1:1),$H$83:$H$87,0),0,1,1)</f>
        <v>-9253.6880000000019</v>
      </c>
      <c r="G25" s="146"/>
      <c r="K25" s="135"/>
      <c r="L25" s="123"/>
    </row>
    <row r="26" spans="1:12" ht="23.4" customHeight="1" x14ac:dyDescent="0.25">
      <c r="A26" s="123"/>
      <c r="B26" s="159" t="str" cm="1">
        <f t="array" aca="1" ref="B26" ca="1">OFFSET(B$82,MATCH(ROW(2:2),$H$83:$H$87,0),0,1,1)</f>
        <v>Salaries &amp; Wages - Management</v>
      </c>
      <c r="C26" s="160"/>
      <c r="D26" s="130" cm="1">
        <f t="array" aca="1" ref="D26" ca="1">OFFSET(D$82,MATCH(ROW(2:2),$H$83:$H$87,0),0,1,1)</f>
        <v>34722.056000000004</v>
      </c>
      <c r="E26" s="130" cm="1">
        <f t="array" aca="1" ref="E26" ca="1">OFFSET(E$82,MATCH(ROW(2:2),$H$83:$H$87,0),0,1,1)</f>
        <v>43402.57</v>
      </c>
      <c r="F26" s="161" cm="1">
        <f t="array" aca="1" ref="F26" ca="1">OFFSET(F$82,MATCH(ROW(2:2),$H$83:$H$87,0),0,1,1)</f>
        <v>-8680.5139999999956</v>
      </c>
      <c r="G26" s="146"/>
      <c r="K26" s="135"/>
      <c r="L26" s="123"/>
    </row>
    <row r="27" spans="1:12" ht="23.4" customHeight="1" x14ac:dyDescent="0.25">
      <c r="A27" s="123"/>
      <c r="B27" s="159" t="str" cm="1">
        <f t="array" aca="1" ref="B27" ca="1">OFFSET(B$82,MATCH(ROW(3:3),$H$83:$H$87,0),0,1,1)</f>
        <v>Other Expenses</v>
      </c>
      <c r="C27" s="160"/>
      <c r="D27" s="130" cm="1">
        <f t="array" aca="1" ref="D27" ca="1">OFFSET(D$82,MATCH(ROW(3:3),$H$83:$H$87,0),0,1,1)</f>
        <v>18485.728000000003</v>
      </c>
      <c r="E27" s="130" cm="1">
        <f t="array" aca="1" ref="E27" ca="1">OFFSET(E$82,MATCH(ROW(3:3),$H$83:$H$87,0),0,1,1)</f>
        <v>23107.16</v>
      </c>
      <c r="F27" s="161" cm="1">
        <f t="array" aca="1" ref="F27" ca="1">OFFSET(F$82,MATCH(ROW(3:3),$H$83:$H$87,0),0,1,1)</f>
        <v>-4621.4319999999971</v>
      </c>
      <c r="G27" s="146"/>
      <c r="K27" s="135"/>
      <c r="L27" s="123"/>
    </row>
    <row r="28" spans="1:12" ht="23.4" customHeight="1" x14ac:dyDescent="0.25">
      <c r="A28" s="123"/>
      <c r="B28" s="159" t="str" cm="1">
        <f t="array" aca="1" ref="B28" ca="1">OFFSET(B$82,MATCH(ROW(4:4),$H$83:$H$87,0),0,1,1)</f>
        <v>Office Rent</v>
      </c>
      <c r="C28" s="160"/>
      <c r="D28" s="130" cm="1">
        <f t="array" aca="1" ref="D28" ca="1">OFFSET(D$82,MATCH(ROW(4:4),$H$83:$H$87,0),0,1,1)</f>
        <v>16901.16</v>
      </c>
      <c r="E28" s="130" cm="1">
        <f t="array" aca="1" ref="E28" ca="1">OFFSET(E$82,MATCH(ROW(4:4),$H$83:$H$87,0),0,1,1)</f>
        <v>21126.45</v>
      </c>
      <c r="F28" s="161" cm="1">
        <f t="array" aca="1" ref="F28" ca="1">OFFSET(F$82,MATCH(ROW(4:4),$H$83:$H$87,0),0,1,1)</f>
        <v>-4225.2900000000009</v>
      </c>
      <c r="G28" s="146"/>
      <c r="K28" s="135"/>
      <c r="L28" s="123"/>
    </row>
    <row r="29" spans="1:12" ht="23.4" customHeight="1" x14ac:dyDescent="0.25">
      <c r="A29" s="123"/>
      <c r="B29" s="159" t="str" cm="1">
        <f t="array" aca="1" ref="B29" ca="1">OFFSET(B$82,MATCH(ROW(5:5),$H$83:$H$87,0),0,1,1)</f>
        <v>Utilities</v>
      </c>
      <c r="C29" s="160"/>
      <c r="D29" s="130" cm="1">
        <f t="array" aca="1" ref="D29" ca="1">OFFSET(D$82,MATCH(ROW(5:5),$H$83:$H$87,0),0,1,1)</f>
        <v>13139.368</v>
      </c>
      <c r="E29" s="130" cm="1">
        <f t="array" aca="1" ref="E29" ca="1">OFFSET(E$82,MATCH(ROW(5:5),$H$83:$H$87,0),0,1,1)</f>
        <v>16424.21</v>
      </c>
      <c r="F29" s="161" cm="1">
        <f t="array" aca="1" ref="F29" ca="1">OFFSET(F$82,MATCH(ROW(5:5),$H$83:$H$87,0),0,1,1)</f>
        <v>-3284.8419999999987</v>
      </c>
      <c r="G29" s="146"/>
      <c r="K29" s="135"/>
      <c r="L29" s="123"/>
    </row>
    <row r="30" spans="1:12" ht="23.4" customHeight="1" thickBot="1" x14ac:dyDescent="0.3">
      <c r="A30" s="123"/>
      <c r="B30" s="149"/>
      <c r="C30" s="150"/>
      <c r="D30" s="150"/>
      <c r="E30" s="150"/>
      <c r="F30" s="151"/>
      <c r="G30" s="149"/>
      <c r="H30" s="150"/>
      <c r="I30" s="150"/>
      <c r="J30" s="163"/>
      <c r="K30" s="139"/>
      <c r="L30" s="123"/>
    </row>
    <row r="31" spans="1:12" ht="23.4" customHeight="1" thickTop="1" x14ac:dyDescent="0.25">
      <c r="A31" s="123"/>
      <c r="B31" s="279"/>
      <c r="C31" s="265"/>
      <c r="D31" s="265"/>
      <c r="E31" s="266"/>
      <c r="F31" s="259" t="s">
        <v>351</v>
      </c>
      <c r="G31" s="261"/>
      <c r="H31" s="259" t="s">
        <v>313</v>
      </c>
      <c r="I31" s="260"/>
      <c r="J31" s="260"/>
      <c r="K31" s="261"/>
      <c r="L31" s="123"/>
    </row>
    <row r="32" spans="1:12" ht="23.4" customHeight="1" x14ac:dyDescent="0.25">
      <c r="A32" s="123"/>
      <c r="B32" s="280"/>
      <c r="C32" s="267"/>
      <c r="D32" s="267"/>
      <c r="E32" s="268"/>
      <c r="F32" s="284"/>
      <c r="G32" s="285"/>
      <c r="H32" s="284"/>
      <c r="I32" s="286"/>
      <c r="J32" s="286"/>
      <c r="K32" s="285"/>
      <c r="L32" s="123"/>
    </row>
    <row r="33" spans="1:12" ht="23.4" customHeight="1" thickBot="1" x14ac:dyDescent="0.3">
      <c r="A33" s="123"/>
      <c r="B33" s="280"/>
      <c r="C33" s="267"/>
      <c r="D33" s="267"/>
      <c r="E33" s="268"/>
      <c r="F33" s="146"/>
      <c r="G33" s="147"/>
      <c r="H33" s="146"/>
      <c r="J33" s="156" t="str">
        <f>IF($C$57="Prior","Actual","Forecast")</f>
        <v>Forecast</v>
      </c>
      <c r="K33" s="157" t="str">
        <f>IF($C$57="Prior","Prior","Actual")</f>
        <v>Actual</v>
      </c>
      <c r="L33" s="123"/>
    </row>
    <row r="34" spans="1:12" ht="23.4" customHeight="1" thickTop="1" x14ac:dyDescent="0.25">
      <c r="A34" s="123"/>
      <c r="B34" s="280"/>
      <c r="C34" s="267"/>
      <c r="D34" s="267"/>
      <c r="E34" s="268"/>
      <c r="F34" s="287">
        <f>$D$90</f>
        <v>108738.72999999984</v>
      </c>
      <c r="G34" s="288"/>
      <c r="H34" s="164" t="s">
        <v>314</v>
      </c>
      <c r="I34" s="165"/>
      <c r="J34" s="131">
        <f>D93</f>
        <v>32731.172000000181</v>
      </c>
      <c r="K34" s="166">
        <f>E93</f>
        <v>79158.163999999844</v>
      </c>
      <c r="L34" s="123"/>
    </row>
    <row r="35" spans="1:12" ht="23.4" customHeight="1" thickBot="1" x14ac:dyDescent="0.3">
      <c r="A35" s="123"/>
      <c r="B35" s="280"/>
      <c r="C35" s="267"/>
      <c r="D35" s="267"/>
      <c r="E35" s="268"/>
      <c r="F35" s="289"/>
      <c r="G35" s="290"/>
      <c r="H35" s="164" t="s">
        <v>315</v>
      </c>
      <c r="I35" s="165"/>
      <c r="J35" s="131">
        <f t="shared" ref="J35:J37" si="2">D94</f>
        <v>-6521.9270000000079</v>
      </c>
      <c r="K35" s="166">
        <f t="shared" ref="K35:K37" si="3">E94</f>
        <v>-19565.781000000006</v>
      </c>
      <c r="L35" s="123"/>
    </row>
    <row r="36" spans="1:12" ht="23.4" customHeight="1" thickTop="1" x14ac:dyDescent="0.25">
      <c r="A36" s="123"/>
      <c r="B36" s="280"/>
      <c r="C36" s="267"/>
      <c r="D36" s="267"/>
      <c r="E36" s="268"/>
      <c r="F36" s="146"/>
      <c r="G36" s="147"/>
      <c r="H36" s="167" t="s">
        <v>316</v>
      </c>
      <c r="I36" s="168"/>
      <c r="J36" s="131">
        <f t="shared" si="2"/>
        <v>-15335.372000000005</v>
      </c>
      <c r="K36" s="166">
        <f t="shared" si="3"/>
        <v>-26970.764000000003</v>
      </c>
      <c r="L36" s="123"/>
    </row>
    <row r="37" spans="1:12" ht="23.4" customHeight="1" x14ac:dyDescent="0.25">
      <c r="A37" s="123"/>
      <c r="B37" s="280"/>
      <c r="C37" s="267"/>
      <c r="D37" s="267"/>
      <c r="E37" s="268"/>
      <c r="F37" s="146"/>
      <c r="G37" s="147"/>
      <c r="H37" s="164" t="s">
        <v>317</v>
      </c>
      <c r="I37" s="165"/>
      <c r="J37" s="131">
        <f t="shared" si="2"/>
        <v>10873.873000000169</v>
      </c>
      <c r="K37" s="166">
        <f t="shared" si="3"/>
        <v>32621.618999999839</v>
      </c>
      <c r="L37" s="123"/>
    </row>
    <row r="38" spans="1:12" ht="23.4" customHeight="1" thickBot="1" x14ac:dyDescent="0.3">
      <c r="A38" s="123"/>
      <c r="B38" s="281"/>
      <c r="C38" s="282"/>
      <c r="D38" s="282"/>
      <c r="E38" s="283"/>
      <c r="F38" s="146"/>
      <c r="G38" s="147"/>
      <c r="H38" s="146"/>
      <c r="J38" s="131"/>
      <c r="K38" s="166"/>
      <c r="L38" s="123"/>
    </row>
    <row r="39" spans="1:12" ht="23.4" customHeight="1" thickTop="1" x14ac:dyDescent="0.25">
      <c r="A39" s="123"/>
      <c r="B39" s="244" t="s">
        <v>318</v>
      </c>
      <c r="C39" s="245"/>
      <c r="D39" s="245"/>
      <c r="E39" s="245"/>
      <c r="F39" s="279"/>
      <c r="G39" s="265"/>
      <c r="H39" s="265"/>
      <c r="I39" s="132"/>
      <c r="J39" s="265"/>
      <c r="K39" s="266"/>
      <c r="L39" s="123"/>
    </row>
    <row r="40" spans="1:12" ht="23.4" customHeight="1" x14ac:dyDescent="0.25">
      <c r="A40" s="123"/>
      <c r="B40" s="247"/>
      <c r="C40" s="248"/>
      <c r="D40" s="248"/>
      <c r="E40" s="248"/>
      <c r="F40" s="280"/>
      <c r="G40" s="267"/>
      <c r="H40" s="267"/>
      <c r="I40" s="133"/>
      <c r="J40" s="267"/>
      <c r="K40" s="268"/>
      <c r="L40" s="123"/>
    </row>
    <row r="41" spans="1:12" ht="23.4" customHeight="1" x14ac:dyDescent="0.3">
      <c r="A41" s="123"/>
      <c r="B41" s="154"/>
      <c r="C41" s="155"/>
      <c r="D41" s="127" t="str">
        <f>IF($C$57="Prior","Actual","Forecast")</f>
        <v>Forecast</v>
      </c>
      <c r="E41" s="127" t="str">
        <f>IF($C$57="Prior","Prior","Actual")</f>
        <v>Actual</v>
      </c>
      <c r="F41" s="280"/>
      <c r="G41" s="267"/>
      <c r="H41" s="267"/>
      <c r="I41" s="133"/>
      <c r="J41" s="267"/>
      <c r="K41" s="268"/>
      <c r="L41" s="123"/>
    </row>
    <row r="42" spans="1:12" ht="23.4" customHeight="1" x14ac:dyDescent="0.25">
      <c r="A42" s="123"/>
      <c r="B42" s="164" t="str">
        <f>A98</f>
        <v>Total non-current assets</v>
      </c>
      <c r="C42" s="165"/>
      <c r="D42" s="131">
        <f>D98</f>
        <v>112235.848</v>
      </c>
      <c r="E42" s="131">
        <f>E98</f>
        <v>140294.81</v>
      </c>
      <c r="F42" s="280"/>
      <c r="G42" s="267"/>
      <c r="H42" s="267"/>
      <c r="I42" s="133"/>
      <c r="J42" s="267"/>
      <c r="K42" s="268"/>
      <c r="L42" s="123"/>
    </row>
    <row r="43" spans="1:12" ht="23.4" customHeight="1" x14ac:dyDescent="0.25">
      <c r="A43" s="123"/>
      <c r="B43" s="164" t="str">
        <f>A99</f>
        <v>Total current assets</v>
      </c>
      <c r="C43" s="165"/>
      <c r="D43" s="131">
        <f t="shared" ref="D43:E44" si="4">D99</f>
        <v>154542.52799999999</v>
      </c>
      <c r="E43" s="131">
        <f t="shared" si="4"/>
        <v>193178.16000000003</v>
      </c>
      <c r="F43" s="280"/>
      <c r="G43" s="267"/>
      <c r="H43" s="267"/>
      <c r="I43" s="133"/>
      <c r="J43" s="267"/>
      <c r="K43" s="268"/>
      <c r="L43" s="123"/>
    </row>
    <row r="44" spans="1:12" ht="23.4" customHeight="1" x14ac:dyDescent="0.25">
      <c r="A44" s="123"/>
      <c r="B44" s="164" t="str">
        <f>A100</f>
        <v>Total Assets</v>
      </c>
      <c r="C44" s="165"/>
      <c r="D44" s="131">
        <f t="shared" si="4"/>
        <v>266778.37599999999</v>
      </c>
      <c r="E44" s="131">
        <f t="shared" si="4"/>
        <v>333472.97000000003</v>
      </c>
      <c r="F44" s="280"/>
      <c r="G44" s="267"/>
      <c r="H44" s="267"/>
      <c r="I44" s="133"/>
      <c r="J44" s="267"/>
      <c r="K44" s="268"/>
      <c r="L44" s="123"/>
    </row>
    <row r="45" spans="1:12" ht="23.4" customHeight="1" x14ac:dyDescent="0.3">
      <c r="A45" s="123"/>
      <c r="B45" s="146"/>
      <c r="D45" s="127" t="str">
        <f>IF($C$57="Prior","Actual","Forecast")</f>
        <v>Forecast</v>
      </c>
      <c r="E45" s="127" t="str">
        <f>IF($C$57="Prior","Prior","Actual")</f>
        <v>Actual</v>
      </c>
      <c r="F45" s="280"/>
      <c r="G45" s="267"/>
      <c r="H45" s="267"/>
      <c r="I45" s="133"/>
      <c r="J45" s="267"/>
      <c r="K45" s="268"/>
      <c r="L45" s="123"/>
    </row>
    <row r="46" spans="1:12" ht="23.4" customHeight="1" x14ac:dyDescent="0.25">
      <c r="A46" s="123"/>
      <c r="B46" s="164" t="str">
        <f t="shared" ref="B46:B50" si="5">A101</f>
        <v>Total equity</v>
      </c>
      <c r="C46" s="165"/>
      <c r="D46" s="131">
        <f t="shared" ref="D46:E50" si="6">D101</f>
        <v>439851.35200000019</v>
      </c>
      <c r="E46" s="131">
        <f t="shared" si="6"/>
        <v>549814.19000000006</v>
      </c>
      <c r="F46" s="280"/>
      <c r="G46" s="267"/>
      <c r="H46" s="267"/>
      <c r="I46" s="133"/>
      <c r="J46" s="267"/>
      <c r="K46" s="268"/>
      <c r="L46" s="123"/>
    </row>
    <row r="47" spans="1:12" ht="23.4" customHeight="1" x14ac:dyDescent="0.25">
      <c r="A47" s="123"/>
      <c r="B47" s="164" t="str">
        <f t="shared" si="5"/>
        <v>Total non-current liabilities</v>
      </c>
      <c r="C47" s="165"/>
      <c r="D47" s="131">
        <f t="shared" si="6"/>
        <v>-23155.624</v>
      </c>
      <c r="E47" s="166">
        <f t="shared" si="6"/>
        <v>-28944.53</v>
      </c>
      <c r="F47" s="227" t="str">
        <f>B43</f>
        <v>Total current assets</v>
      </c>
      <c r="G47" s="228"/>
      <c r="H47" s="228" t="str">
        <f>B49</f>
        <v>Total Liabilities</v>
      </c>
      <c r="I47" s="228"/>
      <c r="J47" s="228" t="s">
        <v>75</v>
      </c>
      <c r="K47" s="230"/>
      <c r="L47" s="123"/>
    </row>
    <row r="48" spans="1:12" ht="23.4" customHeight="1" x14ac:dyDescent="0.35">
      <c r="A48" s="123"/>
      <c r="B48" s="164" t="str">
        <f t="shared" si="5"/>
        <v>Total current liabilities</v>
      </c>
      <c r="C48" s="165"/>
      <c r="D48" s="131">
        <f t="shared" si="6"/>
        <v>-149917.35200000001</v>
      </c>
      <c r="E48" s="166">
        <f t="shared" si="6"/>
        <v>-187396.69000000003</v>
      </c>
      <c r="F48" s="231">
        <f>IF($D$41="Actual",D43,E43)</f>
        <v>193178.16000000003</v>
      </c>
      <c r="G48" s="232"/>
      <c r="H48" s="233">
        <f>IF($D$45="Actual",D49,E49)</f>
        <v>-216341.22000000003</v>
      </c>
      <c r="I48" s="233"/>
      <c r="J48" s="233">
        <f>'Income Statement'!J38</f>
        <v>768125.40599999996</v>
      </c>
      <c r="K48" s="234"/>
      <c r="L48" s="123"/>
    </row>
    <row r="49" spans="1:17" ht="23.4" customHeight="1" x14ac:dyDescent="0.25">
      <c r="A49" s="123"/>
      <c r="B49" s="164" t="str">
        <f t="shared" si="5"/>
        <v>Total Liabilities</v>
      </c>
      <c r="C49" s="165"/>
      <c r="D49" s="131">
        <f t="shared" si="6"/>
        <v>-173072.97600000002</v>
      </c>
      <c r="E49" s="166">
        <f t="shared" si="6"/>
        <v>-216341.22000000003</v>
      </c>
      <c r="F49" s="227" t="str">
        <f>B48</f>
        <v>Total current liabilities</v>
      </c>
      <c r="G49" s="228"/>
      <c r="H49" s="229" t="str">
        <f>B46</f>
        <v>Total equity</v>
      </c>
      <c r="I49" s="229"/>
      <c r="J49" s="228" t="s">
        <v>319</v>
      </c>
      <c r="K49" s="230"/>
      <c r="L49" s="123"/>
    </row>
    <row r="50" spans="1:17" ht="23.4" customHeight="1" x14ac:dyDescent="0.35">
      <c r="A50" s="123"/>
      <c r="B50" s="164" t="str">
        <f t="shared" si="5"/>
        <v>Total Equity &amp; Liabilities</v>
      </c>
      <c r="C50" s="165"/>
      <c r="D50" s="131">
        <f t="shared" si="6"/>
        <v>266778.37600000016</v>
      </c>
      <c r="E50" s="166">
        <f t="shared" si="6"/>
        <v>333472.97000000003</v>
      </c>
      <c r="F50" s="231">
        <f>IF($D$45="Actual",D48,E48)</f>
        <v>-187396.69000000003</v>
      </c>
      <c r="G50" s="232"/>
      <c r="H50" s="233">
        <f>IF($D$45="Actual",D46,E46)</f>
        <v>549814.19000000006</v>
      </c>
      <c r="I50" s="233"/>
      <c r="J50" s="233">
        <f>IF($D$41="Actual",D44-D48,E44-E48)</f>
        <v>520869.66000000003</v>
      </c>
      <c r="K50" s="234"/>
      <c r="L50" s="123"/>
    </row>
    <row r="51" spans="1:17" ht="23.4" customHeight="1" thickBot="1" x14ac:dyDescent="0.3">
      <c r="A51" s="123"/>
      <c r="B51" s="149"/>
      <c r="C51" s="150"/>
      <c r="D51" s="169"/>
      <c r="E51" s="170"/>
      <c r="F51" s="220"/>
      <c r="G51" s="221"/>
      <c r="H51" s="221"/>
      <c r="I51" s="221"/>
      <c r="J51" s="221"/>
      <c r="K51" s="222"/>
      <c r="L51" s="123"/>
    </row>
    <row r="52" spans="1:17" ht="23.4" customHeight="1" thickTop="1" x14ac:dyDescent="0.25">
      <c r="A52" s="123"/>
      <c r="B52" s="123"/>
      <c r="C52" s="123"/>
      <c r="D52" s="123"/>
      <c r="E52" s="123"/>
      <c r="F52" s="123"/>
      <c r="G52" s="123"/>
      <c r="H52" s="123"/>
      <c r="I52" s="123"/>
      <c r="J52" s="124"/>
      <c r="K52" s="124"/>
      <c r="L52" s="123"/>
    </row>
    <row r="54" spans="1:17" s="172" customFormat="1" ht="23.4" customHeight="1" x14ac:dyDescent="0.3">
      <c r="A54" s="171" t="s">
        <v>320</v>
      </c>
      <c r="J54" s="173"/>
      <c r="K54" s="174"/>
    </row>
    <row r="55" spans="1:17" s="175" customFormat="1" ht="23.4" customHeight="1" x14ac:dyDescent="0.25">
      <c r="A55" s="175" t="s">
        <v>307</v>
      </c>
      <c r="J55" s="176"/>
      <c r="K55" s="174"/>
    </row>
    <row r="56" spans="1:17" s="175" customFormat="1" ht="23.4" customHeight="1" x14ac:dyDescent="0.25">
      <c r="A56" s="175" t="s">
        <v>361</v>
      </c>
      <c r="D56" s="176"/>
      <c r="E56" s="176"/>
      <c r="J56" s="176"/>
      <c r="K56" s="174"/>
    </row>
    <row r="57" spans="1:17" s="175" customFormat="1" ht="23.4" customHeight="1" x14ac:dyDescent="0.25">
      <c r="A57" s="175" t="s">
        <v>357</v>
      </c>
      <c r="C57" s="175" t="s">
        <v>40</v>
      </c>
      <c r="D57" s="176"/>
      <c r="E57" s="176"/>
      <c r="J57" s="176"/>
      <c r="K57" s="174"/>
    </row>
    <row r="58" spans="1:17" s="176" customFormat="1" ht="23.4" customHeight="1" x14ac:dyDescent="0.25">
      <c r="A58" s="177" t="s">
        <v>321</v>
      </c>
      <c r="D58" s="176">
        <v>1</v>
      </c>
      <c r="E58" s="176">
        <v>2</v>
      </c>
      <c r="F58" s="176">
        <v>3</v>
      </c>
      <c r="G58" s="176">
        <v>4</v>
      </c>
      <c r="H58" s="176">
        <v>5</v>
      </c>
      <c r="I58" s="176">
        <v>6</v>
      </c>
      <c r="J58" s="176">
        <v>7</v>
      </c>
      <c r="K58" s="176">
        <v>8</v>
      </c>
      <c r="L58" s="224">
        <v>9</v>
      </c>
      <c r="M58" s="224"/>
      <c r="N58" s="176">
        <v>10</v>
      </c>
      <c r="O58" s="176">
        <v>11</v>
      </c>
      <c r="P58" s="176">
        <v>12</v>
      </c>
    </row>
    <row r="59" spans="1:17" s="176" customFormat="1" ht="23.4" customHeight="1" x14ac:dyDescent="0.3">
      <c r="A59" s="177" t="s">
        <v>322</v>
      </c>
      <c r="D59" s="178" t="s">
        <v>323</v>
      </c>
      <c r="E59" s="178" t="s">
        <v>324</v>
      </c>
      <c r="F59" s="178" t="s">
        <v>325</v>
      </c>
      <c r="K59" s="174"/>
    </row>
    <row r="60" spans="1:17" s="180" customFormat="1" ht="23.4" customHeight="1" x14ac:dyDescent="0.25">
      <c r="A60" s="179" t="s">
        <v>343</v>
      </c>
      <c r="D60" s="181">
        <v>45747</v>
      </c>
      <c r="E60" s="181">
        <v>45777</v>
      </c>
      <c r="F60" s="181">
        <v>45808</v>
      </c>
      <c r="G60" s="181">
        <v>45838</v>
      </c>
      <c r="H60" s="181">
        <v>45869</v>
      </c>
      <c r="I60" s="181">
        <v>45900</v>
      </c>
      <c r="J60" s="181">
        <v>45930</v>
      </c>
      <c r="K60" s="181">
        <v>45961</v>
      </c>
      <c r="L60" s="225">
        <v>45991</v>
      </c>
      <c r="M60" s="225"/>
      <c r="N60" s="181">
        <v>46022</v>
      </c>
      <c r="O60" s="180">
        <v>46053</v>
      </c>
      <c r="P60" s="180">
        <v>46081</v>
      </c>
    </row>
    <row r="61" spans="1:17" s="183" customFormat="1" ht="23.4" customHeight="1" x14ac:dyDescent="0.25">
      <c r="A61" s="182" t="s">
        <v>362</v>
      </c>
      <c r="D61" s="184"/>
      <c r="E61" s="184"/>
      <c r="F61" s="184"/>
      <c r="G61" s="184"/>
      <c r="K61" s="174"/>
    </row>
    <row r="62" spans="1:17" s="186" customFormat="1" ht="23.4" customHeight="1" x14ac:dyDescent="0.25">
      <c r="A62" s="185" t="s">
        <v>48</v>
      </c>
      <c r="D62" s="186">
        <v>-4511.679999999993</v>
      </c>
      <c r="E62" s="186">
        <v>-4511.679999999993</v>
      </c>
      <c r="F62" s="186">
        <v>-4511.6800000000076</v>
      </c>
      <c r="G62" s="186">
        <v>-4511.6899999999878</v>
      </c>
      <c r="H62" s="186">
        <v>-4511.6699999999983</v>
      </c>
      <c r="I62" s="186">
        <v>-4511.6900000000023</v>
      </c>
      <c r="J62" s="187">
        <v>-4511.6800000000076</v>
      </c>
      <c r="K62" s="187">
        <v>-4511.6900000000023</v>
      </c>
      <c r="L62" s="226">
        <v>-4511.679999999993</v>
      </c>
      <c r="M62" s="226"/>
      <c r="N62" s="186">
        <v>-4511.679999999993</v>
      </c>
      <c r="O62" s="186">
        <v>-4511.6900000000023</v>
      </c>
      <c r="P62" s="186">
        <v>-4511.6699999999983</v>
      </c>
      <c r="Q62" s="188" t="s">
        <v>332</v>
      </c>
    </row>
    <row r="63" spans="1:17" s="190" customFormat="1" ht="23.4" customHeight="1" x14ac:dyDescent="0.25">
      <c r="A63" s="189" t="s">
        <v>363</v>
      </c>
      <c r="J63" s="191"/>
      <c r="K63" s="192"/>
      <c r="M63" s="193"/>
    </row>
    <row r="64" spans="1:17" s="186" customFormat="1" ht="23.4" customHeight="1" x14ac:dyDescent="0.25">
      <c r="A64" s="185" t="s">
        <v>75</v>
      </c>
      <c r="D64" s="186">
        <v>-21062.739999999998</v>
      </c>
      <c r="E64" s="186">
        <v>-21062.739999999998</v>
      </c>
      <c r="F64" s="186">
        <v>-21062.750000000015</v>
      </c>
      <c r="G64" s="186">
        <v>-21062.72999999996</v>
      </c>
      <c r="H64" s="186">
        <v>-21062.620000000035</v>
      </c>
      <c r="I64" s="186">
        <v>-21062.789999999972</v>
      </c>
      <c r="J64" s="194">
        <v>-21062.700000000019</v>
      </c>
      <c r="K64" s="194">
        <v>-21062.740000000005</v>
      </c>
      <c r="L64" s="226">
        <v>-21062.709999999995</v>
      </c>
      <c r="M64" s="226"/>
      <c r="N64" s="186">
        <v>-21062.729999999974</v>
      </c>
      <c r="O64" s="186">
        <v>-21062.73000000001</v>
      </c>
      <c r="P64" s="186">
        <v>-21062.679999999997</v>
      </c>
      <c r="Q64" s="188" t="s">
        <v>332</v>
      </c>
    </row>
    <row r="65" spans="1:17" s="190" customFormat="1" ht="23.4" customHeight="1" x14ac:dyDescent="0.25">
      <c r="A65" s="189" t="s">
        <v>364</v>
      </c>
      <c r="D65" s="191" t="s">
        <v>327</v>
      </c>
      <c r="E65" s="191" t="s">
        <v>328</v>
      </c>
      <c r="F65" s="191" t="s">
        <v>329</v>
      </c>
      <c r="G65" s="191" t="s">
        <v>330</v>
      </c>
      <c r="H65" s="191"/>
      <c r="I65" s="191"/>
      <c r="J65" s="191"/>
      <c r="K65" s="192"/>
      <c r="M65" s="193"/>
    </row>
    <row r="66" spans="1:17" s="196" customFormat="1" ht="23.4" customHeight="1" x14ac:dyDescent="0.25">
      <c r="A66" s="195" t="s">
        <v>365</v>
      </c>
      <c r="D66" s="197">
        <v>263.09616039861277</v>
      </c>
      <c r="E66" s="197">
        <v>342.02500851819661</v>
      </c>
      <c r="F66" s="197">
        <v>-212.02500851819661</v>
      </c>
      <c r="G66" s="196">
        <v>30</v>
      </c>
      <c r="Q66" s="188" t="s">
        <v>331</v>
      </c>
    </row>
    <row r="67" spans="1:17" s="190" customFormat="1" ht="23.4" customHeight="1" x14ac:dyDescent="0.25">
      <c r="A67" s="189" t="s">
        <v>366</v>
      </c>
      <c r="B67" s="198"/>
      <c r="C67" s="198"/>
      <c r="D67" s="191" t="s">
        <v>327</v>
      </c>
      <c r="E67" s="191" t="s">
        <v>328</v>
      </c>
      <c r="F67" s="191" t="s">
        <v>329</v>
      </c>
      <c r="G67" s="199" t="s">
        <v>330</v>
      </c>
      <c r="J67" s="191"/>
      <c r="K67" s="192"/>
      <c r="M67" s="193"/>
    </row>
    <row r="68" spans="1:17" s="186" customFormat="1" ht="23.4" customHeight="1" x14ac:dyDescent="0.25">
      <c r="A68" s="195" t="s">
        <v>367</v>
      </c>
      <c r="B68" s="196"/>
      <c r="C68" s="196"/>
      <c r="D68" s="197">
        <v>531.18686656034583</v>
      </c>
      <c r="E68" s="197">
        <v>690.54292652844958</v>
      </c>
      <c r="F68" s="197">
        <v>-560.54292652844958</v>
      </c>
      <c r="G68" s="196">
        <v>30</v>
      </c>
      <c r="J68" s="187"/>
      <c r="M68" s="200"/>
      <c r="Q68" s="188" t="s">
        <v>332</v>
      </c>
    </row>
    <row r="69" spans="1:17" s="190" customFormat="1" ht="23.4" customHeight="1" x14ac:dyDescent="0.25">
      <c r="A69" s="189" t="s">
        <v>368</v>
      </c>
      <c r="B69" s="198"/>
      <c r="C69" s="198"/>
      <c r="D69" s="191" t="s">
        <v>342</v>
      </c>
      <c r="E69" s="191" t="s">
        <v>328</v>
      </c>
      <c r="F69" s="191" t="s">
        <v>329</v>
      </c>
      <c r="G69" s="199" t="s">
        <v>330</v>
      </c>
      <c r="J69" s="191"/>
      <c r="K69" s="192"/>
      <c r="M69" s="193"/>
    </row>
    <row r="70" spans="1:17" s="186" customFormat="1" ht="23.4" customHeight="1" x14ac:dyDescent="0.25">
      <c r="A70" s="195" t="s">
        <v>345</v>
      </c>
      <c r="B70" s="196"/>
      <c r="C70" s="196"/>
      <c r="D70" s="197">
        <v>-127.77328587253291</v>
      </c>
      <c r="E70" s="197">
        <v>131.02545263464032</v>
      </c>
      <c r="F70" s="197">
        <v>-1.0254526346403168</v>
      </c>
      <c r="G70" s="196">
        <v>30</v>
      </c>
      <c r="J70" s="187"/>
      <c r="M70" s="200"/>
      <c r="Q70" s="188" t="s">
        <v>333</v>
      </c>
    </row>
    <row r="71" spans="1:17" s="190" customFormat="1" ht="23.4" customHeight="1" x14ac:dyDescent="0.25">
      <c r="A71" s="189" t="s">
        <v>369</v>
      </c>
      <c r="B71" s="198"/>
      <c r="C71" s="198"/>
      <c r="D71" s="191" t="s">
        <v>327</v>
      </c>
      <c r="E71" s="191" t="s">
        <v>328</v>
      </c>
      <c r="F71" s="191" t="s">
        <v>329</v>
      </c>
      <c r="G71" s="199" t="s">
        <v>330</v>
      </c>
      <c r="J71" s="191"/>
      <c r="K71" s="192"/>
      <c r="M71" s="193"/>
    </row>
    <row r="72" spans="1:17" s="186" customFormat="1" ht="23.4" customHeight="1" x14ac:dyDescent="0.25">
      <c r="A72" s="195" t="s">
        <v>370</v>
      </c>
      <c r="B72" s="196"/>
      <c r="C72" s="196"/>
      <c r="D72" s="197">
        <v>-119.31621481067994</v>
      </c>
      <c r="E72" s="197">
        <v>-155.1110792538839</v>
      </c>
      <c r="F72" s="197">
        <v>285.11107925388387</v>
      </c>
      <c r="G72" s="196">
        <v>30</v>
      </c>
      <c r="J72" s="187"/>
      <c r="M72" s="200"/>
      <c r="Q72" s="188" t="s">
        <v>332</v>
      </c>
    </row>
    <row r="73" spans="1:17" s="202" customFormat="1" ht="23.4" customHeight="1" x14ac:dyDescent="0.25">
      <c r="A73" s="201" t="s">
        <v>334</v>
      </c>
      <c r="D73" s="202" t="s">
        <v>40</v>
      </c>
      <c r="E73" s="202" t="s">
        <v>39</v>
      </c>
      <c r="K73" s="203"/>
      <c r="M73" s="204"/>
    </row>
    <row r="74" spans="1:17" s="206" customFormat="1" ht="23.4" customHeight="1" x14ac:dyDescent="0.25">
      <c r="A74" s="205" t="s">
        <v>48</v>
      </c>
      <c r="D74" s="186">
        <v>-98800.255999999994</v>
      </c>
      <c r="E74" s="186">
        <v>-123500.31999999999</v>
      </c>
      <c r="F74" s="186"/>
      <c r="J74" s="207"/>
      <c r="M74" s="208"/>
      <c r="Q74" s="192" t="s">
        <v>326</v>
      </c>
    </row>
    <row r="75" spans="1:17" s="206" customFormat="1" ht="23.4" customHeight="1" x14ac:dyDescent="0.25">
      <c r="A75" s="205" t="s">
        <v>30</v>
      </c>
      <c r="D75" s="186">
        <v>-259939.68</v>
      </c>
      <c r="E75" s="186">
        <v>-324924.59999999998</v>
      </c>
      <c r="F75" s="186"/>
      <c r="J75" s="207"/>
      <c r="M75" s="208"/>
      <c r="Q75" s="192" t="s">
        <v>326</v>
      </c>
    </row>
    <row r="76" spans="1:17" s="186" customFormat="1" ht="23.4" customHeight="1" x14ac:dyDescent="0.25">
      <c r="A76" s="185" t="s">
        <v>194</v>
      </c>
      <c r="D76" s="186">
        <v>247955.67199999999</v>
      </c>
      <c r="E76" s="186">
        <v>309944.58999999997</v>
      </c>
      <c r="J76" s="187"/>
      <c r="M76" s="200"/>
      <c r="Q76" s="192" t="s">
        <v>326</v>
      </c>
    </row>
    <row r="77" spans="1:17" s="186" customFormat="1" ht="23.4" customHeight="1" x14ac:dyDescent="0.25">
      <c r="A77" s="185" t="s">
        <v>23</v>
      </c>
      <c r="D77" s="186">
        <v>3993.752</v>
      </c>
      <c r="E77" s="186">
        <v>4992.1899999999996</v>
      </c>
      <c r="J77" s="187"/>
      <c r="M77" s="200"/>
      <c r="Q77" s="192" t="s">
        <v>326</v>
      </c>
    </row>
    <row r="78" spans="1:17" s="186" customFormat="1" ht="23.4" customHeight="1" x14ac:dyDescent="0.25">
      <c r="A78" s="185" t="s">
        <v>199</v>
      </c>
      <c r="D78" s="186">
        <v>10525.416000000001</v>
      </c>
      <c r="E78" s="186">
        <v>13156.77</v>
      </c>
      <c r="J78" s="187"/>
      <c r="M78" s="200"/>
      <c r="Q78" s="192" t="s">
        <v>326</v>
      </c>
    </row>
    <row r="79" spans="1:17" s="186" customFormat="1" ht="23.4" customHeight="1" x14ac:dyDescent="0.25">
      <c r="A79" s="185" t="s">
        <v>75</v>
      </c>
      <c r="D79" s="186">
        <v>-524813.98399999994</v>
      </c>
      <c r="E79" s="186">
        <v>-656017.48</v>
      </c>
      <c r="J79" s="187"/>
      <c r="M79" s="200"/>
      <c r="Q79" s="192" t="s">
        <v>326</v>
      </c>
    </row>
    <row r="80" spans="1:17" s="186" customFormat="1" ht="23.4" customHeight="1" x14ac:dyDescent="0.25">
      <c r="A80" s="185" t="s">
        <v>345</v>
      </c>
      <c r="D80" s="186">
        <v>-127.7732858725329</v>
      </c>
      <c r="E80" s="186">
        <v>-127.77328587253291</v>
      </c>
      <c r="J80" s="187"/>
      <c r="M80" s="200"/>
      <c r="Q80" s="192" t="s">
        <v>326</v>
      </c>
    </row>
    <row r="81" spans="1:17" s="186" customFormat="1" ht="23.4" customHeight="1" x14ac:dyDescent="0.25">
      <c r="A81" s="185" t="s">
        <v>346</v>
      </c>
      <c r="D81" s="186">
        <v>-1.1931621481067989</v>
      </c>
      <c r="E81" s="186">
        <v>-1.1931621481067993</v>
      </c>
      <c r="J81" s="187"/>
      <c r="M81" s="200"/>
      <c r="Q81" s="192" t="s">
        <v>326</v>
      </c>
    </row>
    <row r="82" spans="1:17" s="190" customFormat="1" ht="23.4" customHeight="1" x14ac:dyDescent="0.25">
      <c r="A82" s="189" t="s">
        <v>309</v>
      </c>
      <c r="D82" s="184" t="s">
        <v>40</v>
      </c>
      <c r="E82" s="184" t="s">
        <v>39</v>
      </c>
      <c r="F82" s="202" t="s">
        <v>311</v>
      </c>
      <c r="G82" s="202" t="s">
        <v>335</v>
      </c>
      <c r="H82" s="209" t="s">
        <v>336</v>
      </c>
      <c r="I82" s="209"/>
      <c r="J82" s="191"/>
      <c r="K82" s="192"/>
      <c r="M82" s="193"/>
    </row>
    <row r="83" spans="1:17" s="186" customFormat="1" ht="23.4" customHeight="1" x14ac:dyDescent="0.25">
      <c r="A83" s="185"/>
      <c r="B83" s="186" t="s">
        <v>57</v>
      </c>
      <c r="D83" s="186">
        <v>16901.16</v>
      </c>
      <c r="E83" s="186">
        <v>21126.45</v>
      </c>
      <c r="F83" s="186">
        <v>-4225.2900000000009</v>
      </c>
      <c r="G83" s="210">
        <v>4</v>
      </c>
      <c r="H83" s="186">
        <v>4</v>
      </c>
      <c r="J83" s="187"/>
      <c r="M83" s="200"/>
      <c r="Q83" s="192" t="s">
        <v>337</v>
      </c>
    </row>
    <row r="84" spans="1:17" s="175" customFormat="1" ht="23.4" customHeight="1" x14ac:dyDescent="0.25">
      <c r="B84" s="186" t="s">
        <v>224</v>
      </c>
      <c r="C84" s="186"/>
      <c r="D84" s="186">
        <v>37014.752</v>
      </c>
      <c r="E84" s="186">
        <v>46268.44</v>
      </c>
      <c r="F84" s="186">
        <v>-9253.6880000000019</v>
      </c>
      <c r="G84" s="210">
        <v>1</v>
      </c>
      <c r="H84" s="186">
        <v>1</v>
      </c>
      <c r="I84" s="186"/>
      <c r="J84" s="176"/>
      <c r="K84" s="176"/>
      <c r="Q84" s="192" t="s">
        <v>337</v>
      </c>
    </row>
    <row r="85" spans="1:17" s="175" customFormat="1" ht="23.4" customHeight="1" x14ac:dyDescent="0.25">
      <c r="B85" s="186" t="s">
        <v>226</v>
      </c>
      <c r="C85" s="186"/>
      <c r="D85" s="186">
        <v>34722.056000000004</v>
      </c>
      <c r="E85" s="186">
        <v>43402.57</v>
      </c>
      <c r="F85" s="186">
        <v>-8680.5139999999956</v>
      </c>
      <c r="G85" s="210">
        <v>2</v>
      </c>
      <c r="H85" s="186">
        <v>2</v>
      </c>
      <c r="I85" s="186"/>
      <c r="J85" s="176"/>
      <c r="K85" s="176"/>
      <c r="Q85" s="192" t="s">
        <v>337</v>
      </c>
    </row>
    <row r="86" spans="1:17" s="175" customFormat="1" ht="23.4" customHeight="1" x14ac:dyDescent="0.25">
      <c r="B86" s="186" t="s">
        <v>65</v>
      </c>
      <c r="C86" s="186"/>
      <c r="D86" s="186">
        <v>13139.368</v>
      </c>
      <c r="E86" s="186">
        <v>16424.21</v>
      </c>
      <c r="F86" s="186">
        <v>-3284.8419999999987</v>
      </c>
      <c r="G86" s="210">
        <v>5</v>
      </c>
      <c r="H86" s="186">
        <v>5</v>
      </c>
      <c r="I86" s="186"/>
      <c r="J86" s="176"/>
      <c r="K86" s="176"/>
      <c r="Q86" s="192" t="s">
        <v>337</v>
      </c>
    </row>
    <row r="87" spans="1:17" s="196" customFormat="1" ht="23.4" customHeight="1" x14ac:dyDescent="0.25">
      <c r="A87" s="176"/>
      <c r="B87" s="186" t="s">
        <v>22</v>
      </c>
      <c r="C87" s="186"/>
      <c r="D87" s="186">
        <v>18485.728000000003</v>
      </c>
      <c r="E87" s="186">
        <v>23107.16</v>
      </c>
      <c r="F87" s="186">
        <v>-4621.4319999999971</v>
      </c>
      <c r="G87" s="210">
        <v>3</v>
      </c>
      <c r="H87" s="186">
        <v>3</v>
      </c>
      <c r="I87" s="186"/>
      <c r="Q87" s="192" t="s">
        <v>337</v>
      </c>
    </row>
    <row r="88" spans="1:17" s="190" customFormat="1" ht="23.4" customHeight="1" x14ac:dyDescent="0.25">
      <c r="A88" s="189" t="s">
        <v>371</v>
      </c>
      <c r="J88" s="191"/>
      <c r="K88" s="192"/>
      <c r="M88" s="193"/>
    </row>
    <row r="89" spans="1:17" s="186" customFormat="1" ht="23.4" customHeight="1" x14ac:dyDescent="0.25">
      <c r="A89" s="185" t="s">
        <v>194</v>
      </c>
      <c r="D89" s="186">
        <v>8575.8700000000063</v>
      </c>
      <c r="E89" s="186">
        <v>8575.8700000000063</v>
      </c>
      <c r="F89" s="186">
        <v>8575.8599999999969</v>
      </c>
      <c r="G89" s="186">
        <v>8575.8499999999949</v>
      </c>
      <c r="H89" s="186">
        <v>8575.7800000000025</v>
      </c>
      <c r="I89" s="186">
        <v>8575.909999999998</v>
      </c>
      <c r="J89" s="187">
        <v>8575.8299999999981</v>
      </c>
      <c r="K89" s="187">
        <v>8575.8499999999985</v>
      </c>
      <c r="L89" s="223">
        <v>8575.8599999999969</v>
      </c>
      <c r="M89" s="223"/>
      <c r="N89" s="186">
        <v>8575.8499999999985</v>
      </c>
      <c r="O89" s="186">
        <v>8575.8600000000079</v>
      </c>
      <c r="P89" s="186">
        <v>8575.8299999999981</v>
      </c>
      <c r="Q89" s="192" t="s">
        <v>344</v>
      </c>
    </row>
    <row r="90" spans="1:17" s="190" customFormat="1" ht="23.4" customHeight="1" x14ac:dyDescent="0.25">
      <c r="A90" s="182" t="s">
        <v>372</v>
      </c>
      <c r="B90" s="183"/>
      <c r="C90" s="183"/>
      <c r="D90" s="186">
        <v>108738.72999999984</v>
      </c>
      <c r="E90" s="184"/>
      <c r="F90" s="184"/>
      <c r="G90" s="184"/>
      <c r="J90" s="191"/>
      <c r="M90" s="193"/>
      <c r="Q90" s="192"/>
    </row>
    <row r="91" spans="1:17" s="186" customFormat="1" ht="23.4" customHeight="1" x14ac:dyDescent="0.25">
      <c r="A91" s="211" t="s">
        <v>77</v>
      </c>
      <c r="D91" s="186">
        <v>82116.459999999992</v>
      </c>
      <c r="E91" s="186">
        <v>84536.67</v>
      </c>
      <c r="F91" s="186">
        <v>86956.88</v>
      </c>
      <c r="G91" s="186">
        <v>89377.09</v>
      </c>
      <c r="H91" s="186">
        <v>91797.29</v>
      </c>
      <c r="I91" s="186">
        <v>94217.500000000015</v>
      </c>
      <c r="J91" s="187">
        <v>96637.709999999992</v>
      </c>
      <c r="K91" s="187">
        <v>99057.91</v>
      </c>
      <c r="L91" s="223">
        <v>101478.12</v>
      </c>
      <c r="M91" s="223"/>
      <c r="N91" s="186">
        <v>103898.31999999999</v>
      </c>
      <c r="O91" s="186">
        <v>106318.54</v>
      </c>
      <c r="P91" s="186">
        <v>108738.73000000001</v>
      </c>
      <c r="Q91" s="192" t="s">
        <v>338</v>
      </c>
    </row>
    <row r="92" spans="1:17" s="175" customFormat="1" ht="23.4" customHeight="1" x14ac:dyDescent="0.25">
      <c r="A92" s="189" t="s">
        <v>339</v>
      </c>
      <c r="B92" s="186"/>
      <c r="C92" s="186"/>
      <c r="D92" s="184" t="s">
        <v>40</v>
      </c>
      <c r="E92" s="184" t="s">
        <v>39</v>
      </c>
      <c r="F92" s="202"/>
      <c r="G92" s="210"/>
      <c r="H92" s="186"/>
      <c r="I92" s="186"/>
      <c r="J92" s="176"/>
      <c r="K92" s="176"/>
      <c r="Q92" s="188"/>
    </row>
    <row r="93" spans="1:17" s="196" customFormat="1" ht="23.4" customHeight="1" x14ac:dyDescent="0.25">
      <c r="A93" s="212" t="s">
        <v>14</v>
      </c>
      <c r="B93" s="186"/>
      <c r="C93" s="186"/>
      <c r="D93" s="186">
        <v>32731.172000000181</v>
      </c>
      <c r="E93" s="186">
        <v>79158.163999999844</v>
      </c>
      <c r="F93" s="186"/>
      <c r="G93" s="210"/>
      <c r="H93" s="186"/>
      <c r="I93" s="186"/>
      <c r="Q93" s="192" t="s">
        <v>338</v>
      </c>
    </row>
    <row r="94" spans="1:17" s="175" customFormat="1" ht="23.4" customHeight="1" x14ac:dyDescent="0.25">
      <c r="A94" s="213" t="s">
        <v>17</v>
      </c>
      <c r="D94" s="186">
        <v>-6521.9270000000079</v>
      </c>
      <c r="E94" s="186">
        <v>-19565.781000000006</v>
      </c>
      <c r="F94" s="186"/>
      <c r="J94" s="176"/>
      <c r="K94" s="176"/>
      <c r="Q94" s="192" t="s">
        <v>338</v>
      </c>
    </row>
    <row r="95" spans="1:17" s="175" customFormat="1" ht="23.4" customHeight="1" x14ac:dyDescent="0.25">
      <c r="A95" s="213" t="s">
        <v>19</v>
      </c>
      <c r="D95" s="186">
        <v>-15335.372000000005</v>
      </c>
      <c r="E95" s="186">
        <v>-26970.764000000003</v>
      </c>
      <c r="F95" s="186"/>
      <c r="J95" s="176"/>
      <c r="K95" s="176"/>
      <c r="Q95" s="192" t="s">
        <v>338</v>
      </c>
    </row>
    <row r="96" spans="1:17" s="175" customFormat="1" ht="23.4" customHeight="1" x14ac:dyDescent="0.25">
      <c r="A96" s="175" t="s">
        <v>358</v>
      </c>
      <c r="D96" s="186">
        <v>10873.873000000169</v>
      </c>
      <c r="E96" s="186">
        <v>32621.618999999839</v>
      </c>
      <c r="F96" s="186"/>
      <c r="J96" s="176"/>
      <c r="K96" s="176"/>
      <c r="Q96" s="192" t="s">
        <v>338</v>
      </c>
    </row>
    <row r="97" spans="1:17" s="175" customFormat="1" ht="23.4" customHeight="1" x14ac:dyDescent="0.25">
      <c r="A97" s="189" t="s">
        <v>340</v>
      </c>
      <c r="B97" s="186"/>
      <c r="C97" s="186"/>
      <c r="D97" s="184" t="s">
        <v>40</v>
      </c>
      <c r="E97" s="184" t="s">
        <v>39</v>
      </c>
      <c r="F97" s="202"/>
      <c r="G97" s="210"/>
      <c r="H97" s="186"/>
      <c r="I97" s="186"/>
      <c r="J97" s="176"/>
      <c r="K97" s="176"/>
      <c r="Q97" s="188"/>
    </row>
    <row r="98" spans="1:17" s="175" customFormat="1" ht="23.4" customHeight="1" x14ac:dyDescent="0.25">
      <c r="A98" s="175" t="s">
        <v>352</v>
      </c>
      <c r="B98" s="176"/>
      <c r="C98" s="176"/>
      <c r="D98" s="186">
        <v>112235.848</v>
      </c>
      <c r="E98" s="186">
        <v>140294.81</v>
      </c>
      <c r="J98" s="176"/>
      <c r="K98" s="176"/>
      <c r="Q98" s="192" t="s">
        <v>341</v>
      </c>
    </row>
    <row r="99" spans="1:17" s="175" customFormat="1" ht="23.4" customHeight="1" x14ac:dyDescent="0.25">
      <c r="A99" s="175" t="s">
        <v>353</v>
      </c>
      <c r="B99" s="176"/>
      <c r="C99" s="176"/>
      <c r="D99" s="186">
        <v>154542.52799999999</v>
      </c>
      <c r="E99" s="186">
        <v>193178.16000000003</v>
      </c>
      <c r="J99" s="176"/>
      <c r="K99" s="176"/>
      <c r="Q99" s="192" t="s">
        <v>341</v>
      </c>
    </row>
    <row r="100" spans="1:17" s="175" customFormat="1" ht="23.4" customHeight="1" x14ac:dyDescent="0.25">
      <c r="A100" s="175" t="s">
        <v>125</v>
      </c>
      <c r="B100" s="176"/>
      <c r="C100" s="176"/>
      <c r="D100" s="186">
        <v>266778.37599999999</v>
      </c>
      <c r="E100" s="186">
        <v>333472.97000000003</v>
      </c>
      <c r="J100" s="176"/>
      <c r="K100" s="176"/>
      <c r="Q100" s="192" t="s">
        <v>341</v>
      </c>
    </row>
    <row r="101" spans="1:17" s="175" customFormat="1" ht="23.4" customHeight="1" x14ac:dyDescent="0.25">
      <c r="A101" s="175" t="s">
        <v>354</v>
      </c>
      <c r="D101" s="186">
        <v>439851.35200000019</v>
      </c>
      <c r="E101" s="186">
        <v>549814.19000000006</v>
      </c>
      <c r="J101" s="176"/>
      <c r="K101" s="176"/>
      <c r="Q101" s="192" t="s">
        <v>341</v>
      </c>
    </row>
    <row r="102" spans="1:17" s="175" customFormat="1" ht="23.4" customHeight="1" x14ac:dyDescent="0.25">
      <c r="A102" s="175" t="s">
        <v>355</v>
      </c>
      <c r="D102" s="186">
        <v>-23155.624</v>
      </c>
      <c r="E102" s="186">
        <v>-28944.53</v>
      </c>
      <c r="J102" s="176"/>
      <c r="K102" s="176"/>
      <c r="Q102" s="192" t="s">
        <v>341</v>
      </c>
    </row>
    <row r="103" spans="1:17" s="175" customFormat="1" ht="23.4" customHeight="1" x14ac:dyDescent="0.25">
      <c r="A103" s="175" t="s">
        <v>356</v>
      </c>
      <c r="D103" s="186">
        <v>-149917.35200000001</v>
      </c>
      <c r="E103" s="186">
        <v>-187396.69000000003</v>
      </c>
      <c r="J103" s="176"/>
      <c r="K103" s="176"/>
      <c r="Q103" s="192" t="s">
        <v>341</v>
      </c>
    </row>
    <row r="104" spans="1:17" s="175" customFormat="1" ht="23.4" customHeight="1" x14ac:dyDescent="0.25">
      <c r="A104" s="175" t="s">
        <v>128</v>
      </c>
      <c r="D104" s="186">
        <v>-173072.97600000002</v>
      </c>
      <c r="E104" s="186">
        <v>-216341.22000000003</v>
      </c>
      <c r="J104" s="176"/>
      <c r="K104" s="176"/>
      <c r="Q104" s="192" t="s">
        <v>341</v>
      </c>
    </row>
    <row r="105" spans="1:17" s="175" customFormat="1" ht="23.4" customHeight="1" x14ac:dyDescent="0.25">
      <c r="A105" s="175" t="s">
        <v>129</v>
      </c>
      <c r="D105" s="186">
        <v>266778.37600000016</v>
      </c>
      <c r="E105" s="186">
        <v>333472.97000000003</v>
      </c>
      <c r="J105" s="176"/>
      <c r="K105" s="176"/>
      <c r="Q105" s="192" t="s">
        <v>341</v>
      </c>
    </row>
    <row r="106" spans="1:17" s="190" customFormat="1" ht="23.4" customHeight="1" x14ac:dyDescent="0.25">
      <c r="A106" s="182" t="s">
        <v>373</v>
      </c>
      <c r="B106" s="183"/>
      <c r="C106" s="183"/>
      <c r="D106" s="191" t="s">
        <v>342</v>
      </c>
      <c r="E106" s="191" t="s">
        <v>328</v>
      </c>
      <c r="F106" s="191" t="s">
        <v>329</v>
      </c>
      <c r="G106" s="199" t="s">
        <v>330</v>
      </c>
      <c r="J106" s="191"/>
      <c r="M106" s="193"/>
      <c r="Q106" s="192"/>
    </row>
    <row r="107" spans="1:17" s="186" customFormat="1" ht="23.4" customHeight="1" x14ac:dyDescent="0.25">
      <c r="A107" s="185" t="s">
        <v>348</v>
      </c>
      <c r="D107" s="214">
        <v>-1.0308515054348077</v>
      </c>
      <c r="E107" s="197">
        <v>4343.7327876820382</v>
      </c>
      <c r="F107" s="197">
        <v>-4213.7327876820382</v>
      </c>
      <c r="G107" s="196">
        <v>30</v>
      </c>
      <c r="J107" s="187"/>
      <c r="M107" s="200"/>
      <c r="Q107" s="188" t="s">
        <v>332</v>
      </c>
    </row>
    <row r="108" spans="1:17" s="175" customFormat="1" ht="23.4" customHeight="1" x14ac:dyDescent="0.25">
      <c r="A108" s="182" t="s">
        <v>374</v>
      </c>
      <c r="B108" s="183"/>
      <c r="C108" s="183"/>
      <c r="D108" s="191" t="s">
        <v>342</v>
      </c>
      <c r="E108" s="191" t="s">
        <v>328</v>
      </c>
      <c r="F108" s="191" t="s">
        <v>329</v>
      </c>
      <c r="G108" s="199" t="s">
        <v>330</v>
      </c>
      <c r="J108" s="176"/>
      <c r="K108" s="176"/>
      <c r="Q108" s="188"/>
    </row>
    <row r="109" spans="1:17" s="175" customFormat="1" ht="23.4" customHeight="1" x14ac:dyDescent="0.25">
      <c r="A109" s="185" t="s">
        <v>375</v>
      </c>
      <c r="B109" s="186"/>
      <c r="C109" s="186"/>
      <c r="D109" s="214">
        <v>-0.39348060478395441</v>
      </c>
      <c r="E109" s="197">
        <v>-84.33774587487558</v>
      </c>
      <c r="F109" s="197">
        <v>214.33774587487557</v>
      </c>
      <c r="G109" s="196">
        <v>30</v>
      </c>
      <c r="J109" s="176"/>
      <c r="K109" s="176"/>
      <c r="Q109" s="188" t="s">
        <v>332</v>
      </c>
    </row>
    <row r="110" spans="1:17" s="175" customFormat="1" ht="23.4" customHeight="1" x14ac:dyDescent="0.25">
      <c r="A110" s="182" t="s">
        <v>376</v>
      </c>
      <c r="B110" s="183"/>
      <c r="C110" s="183"/>
      <c r="D110" s="191" t="s">
        <v>327</v>
      </c>
      <c r="E110" s="191" t="s">
        <v>328</v>
      </c>
      <c r="F110" s="191" t="s">
        <v>329</v>
      </c>
      <c r="G110" s="199" t="s">
        <v>330</v>
      </c>
      <c r="J110" s="176"/>
      <c r="K110" s="176"/>
      <c r="Q110" s="188"/>
    </row>
    <row r="111" spans="1:17" s="175" customFormat="1" ht="23.4" customHeight="1" x14ac:dyDescent="0.25">
      <c r="A111" s="185" t="s">
        <v>377</v>
      </c>
      <c r="B111" s="186"/>
      <c r="C111" s="186"/>
      <c r="D111" s="197">
        <v>-125.94657173927158</v>
      </c>
      <c r="E111" s="197">
        <v>-163.73054326105304</v>
      </c>
      <c r="F111" s="197">
        <v>293.73054326105307</v>
      </c>
      <c r="G111" s="196">
        <v>30</v>
      </c>
      <c r="J111" s="176"/>
      <c r="K111" s="176"/>
      <c r="Q111" s="188" t="s">
        <v>332</v>
      </c>
    </row>
    <row r="112" spans="1:17" ht="23.4" customHeight="1" x14ac:dyDescent="0.25">
      <c r="K112" s="215"/>
    </row>
    <row r="113" spans="11:11" ht="23.4" customHeight="1" x14ac:dyDescent="0.25">
      <c r="K113" s="215"/>
    </row>
    <row r="114" spans="11:11" ht="23.4" customHeight="1" x14ac:dyDescent="0.25">
      <c r="K114" s="215"/>
    </row>
    <row r="115" spans="11:11" ht="23.4" customHeight="1" x14ac:dyDescent="0.25">
      <c r="K115" s="215"/>
    </row>
    <row r="116" spans="11:11" ht="23.4" customHeight="1" x14ac:dyDescent="0.25">
      <c r="K116" s="215"/>
    </row>
    <row r="117" spans="11:11" ht="23.4" customHeight="1" x14ac:dyDescent="0.25">
      <c r="K117" s="215"/>
    </row>
    <row r="118" spans="11:11" ht="23.4" customHeight="1" x14ac:dyDescent="0.25">
      <c r="K118" s="215"/>
    </row>
    <row r="119" spans="11:11" ht="23.4" customHeight="1" x14ac:dyDescent="0.25">
      <c r="K119" s="215"/>
    </row>
    <row r="120" spans="11:11" ht="23.4" customHeight="1" x14ac:dyDescent="0.25">
      <c r="K120" s="215"/>
    </row>
    <row r="121" spans="11:11" ht="23.4" customHeight="1" x14ac:dyDescent="0.25">
      <c r="K121" s="215"/>
    </row>
  </sheetData>
  <sheetProtection algorithmName="SHA-512" hashValue="O1tyT4boSDIeZ4JmG8Q1+bAIF9z3FtVe2910Rkur7IbICIRKcpUUOJumWb8KpqabElxj+tf6tx/a4T5ZrsQk1Q==" saltValue="SNyARWoUbykDK+Fnlm9HAQ==" spinCount="100000" sheet="1" objects="1" scenarios="1"/>
  <mergeCells count="40">
    <mergeCell ref="F47:G47"/>
    <mergeCell ref="H47:I47"/>
    <mergeCell ref="J47:K47"/>
    <mergeCell ref="F48:G48"/>
    <mergeCell ref="H48:I48"/>
    <mergeCell ref="J48:K48"/>
    <mergeCell ref="B31:E38"/>
    <mergeCell ref="F31:G32"/>
    <mergeCell ref="H31:K32"/>
    <mergeCell ref="F34:G35"/>
    <mergeCell ref="B39:E40"/>
    <mergeCell ref="F39:G46"/>
    <mergeCell ref="H39:H46"/>
    <mergeCell ref="J39:K46"/>
    <mergeCell ref="D2:G3"/>
    <mergeCell ref="H2:K3"/>
    <mergeCell ref="D4:G5"/>
    <mergeCell ref="B6:E13"/>
    <mergeCell ref="F6:G13"/>
    <mergeCell ref="B2:C5"/>
    <mergeCell ref="H14:H21"/>
    <mergeCell ref="J14:K21"/>
    <mergeCell ref="B22:F23"/>
    <mergeCell ref="G22:K23"/>
    <mergeCell ref="H24:J24"/>
    <mergeCell ref="F49:G49"/>
    <mergeCell ref="H49:I49"/>
    <mergeCell ref="J49:K49"/>
    <mergeCell ref="F50:G50"/>
    <mergeCell ref="H50:I50"/>
    <mergeCell ref="J50:K50"/>
    <mergeCell ref="F51:G51"/>
    <mergeCell ref="H51:I51"/>
    <mergeCell ref="J51:K51"/>
    <mergeCell ref="L91:M91"/>
    <mergeCell ref="L58:M58"/>
    <mergeCell ref="L89:M89"/>
    <mergeCell ref="L60:M60"/>
    <mergeCell ref="L62:M62"/>
    <mergeCell ref="L64:M64"/>
  </mergeCells>
  <dataValidations count="3">
    <dataValidation type="list" allowBlank="1" showInputMessage="1" showErrorMessage="1" sqref="D108 D67 D110 D71 D106" xr:uid="{EB721170-02EB-4A02-9D8F-8FE666164A0D}">
      <formula1>"%,V1"</formula1>
    </dataValidation>
    <dataValidation type="list" allowBlank="1" showInputMessage="1" showErrorMessage="1" sqref="H24:I24" xr:uid="{F2ACBD1F-C4A8-4013-A2B5-2160E8224500}">
      <formula1>ExpenseList</formula1>
    </dataValidation>
    <dataValidation type="list" allowBlank="1" showInputMessage="1" showErrorMessage="1" errorTitle="Invalid Data" error="Select a valid item from the list box." sqref="C57" xr:uid="{60F05255-25D2-4DB4-BD31-442520F011CA}">
      <formula1>"Forecast,Prior"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P45"/>
  <sheetViews>
    <sheetView zoomScale="95" zoomScaleNormal="95" workbookViewId="0">
      <pane ySplit="4" topLeftCell="A5" activePane="bottomLeft" state="frozen"/>
      <selection pane="bottomLeft" activeCell="E14" sqref="E14"/>
    </sheetView>
  </sheetViews>
  <sheetFormatPr defaultColWidth="9.08984375" defaultRowHeight="16" customHeight="1" x14ac:dyDescent="0.25"/>
  <cols>
    <col min="1" max="1" width="8.6328125" style="107" customWidth="1"/>
    <col min="2" max="2" width="40.81640625" style="14" customWidth="1"/>
    <col min="3" max="5" width="12.6328125" style="28" customWidth="1"/>
    <col min="6" max="6" width="12.6328125" style="29" customWidth="1"/>
    <col min="7" max="7" width="12.6328125" style="28" customWidth="1"/>
    <col min="8" max="8" width="2.6328125" style="1" customWidth="1"/>
    <col min="9" max="11" width="12.6328125" style="28" customWidth="1"/>
    <col min="12" max="12" width="12.6328125" style="29" customWidth="1"/>
    <col min="13" max="13" width="12.6328125" style="28" customWidth="1"/>
    <col min="14" max="14" width="2.6328125" style="21" customWidth="1"/>
    <col min="15" max="16384" width="9.08984375" style="1"/>
  </cols>
  <sheetData>
    <row r="1" spans="1:16" ht="16" customHeight="1" x14ac:dyDescent="0.3">
      <c r="B1" s="106" t="s">
        <v>307</v>
      </c>
    </row>
    <row r="2" spans="1:16" ht="16" customHeight="1" x14ac:dyDescent="0.25">
      <c r="B2" s="30" t="s">
        <v>378</v>
      </c>
    </row>
    <row r="3" spans="1:16" s="32" customFormat="1" ht="18" customHeight="1" x14ac:dyDescent="0.25">
      <c r="A3" s="108"/>
      <c r="B3" s="31" t="s">
        <v>36</v>
      </c>
      <c r="C3" s="291" t="s">
        <v>73</v>
      </c>
      <c r="D3" s="292"/>
      <c r="E3" s="292"/>
      <c r="F3" s="292"/>
      <c r="G3" s="293"/>
      <c r="I3" s="291" t="s">
        <v>72</v>
      </c>
      <c r="J3" s="292"/>
      <c r="K3" s="292"/>
      <c r="L3" s="292"/>
      <c r="M3" s="293"/>
      <c r="N3" s="33"/>
    </row>
    <row r="4" spans="1:16" s="20" customFormat="1" ht="18" customHeight="1" x14ac:dyDescent="0.25">
      <c r="A4" s="112"/>
      <c r="B4" s="12"/>
      <c r="C4" s="34" t="s">
        <v>40</v>
      </c>
      <c r="D4" s="34" t="s">
        <v>39</v>
      </c>
      <c r="E4" s="34" t="s">
        <v>41</v>
      </c>
      <c r="F4" s="35" t="s">
        <v>42</v>
      </c>
      <c r="G4" s="34" t="s">
        <v>78</v>
      </c>
      <c r="H4" s="1"/>
      <c r="I4" s="34" t="s">
        <v>40</v>
      </c>
      <c r="J4" s="34" t="s">
        <v>39</v>
      </c>
      <c r="K4" s="34" t="s">
        <v>41</v>
      </c>
      <c r="L4" s="35" t="s">
        <v>42</v>
      </c>
      <c r="M4" s="34" t="s">
        <v>78</v>
      </c>
      <c r="N4" s="27"/>
    </row>
    <row r="5" spans="1:16" ht="16" customHeight="1" x14ac:dyDescent="0.25">
      <c r="A5" s="107" t="s">
        <v>238</v>
      </c>
      <c r="B5" s="14" t="s">
        <v>48</v>
      </c>
      <c r="C5" s="36">
        <v>7147.4382000000041</v>
      </c>
      <c r="D5" s="36">
        <v>10210.625999999989</v>
      </c>
      <c r="E5" s="28">
        <v>3063.1877999999851</v>
      </c>
      <c r="F5" s="29">
        <v>0.42857142857142627</v>
      </c>
      <c r="G5" s="36">
        <v>8168.5007999999798</v>
      </c>
      <c r="I5" s="36">
        <v>164925.77219999998</v>
      </c>
      <c r="J5" s="36">
        <v>235608.24599999998</v>
      </c>
      <c r="K5" s="36">
        <v>70682.473800000007</v>
      </c>
      <c r="L5" s="37">
        <v>0.42857142857142866</v>
      </c>
      <c r="M5" s="36">
        <v>188486.5968</v>
      </c>
      <c r="P5" s="216"/>
    </row>
    <row r="6" spans="1:16" ht="16" customHeight="1" x14ac:dyDescent="0.25">
      <c r="A6" s="107" t="s">
        <v>239</v>
      </c>
      <c r="B6" s="14" t="s">
        <v>235</v>
      </c>
      <c r="C6" s="28">
        <v>-5223.1620000000112</v>
      </c>
      <c r="D6" s="28">
        <v>-7461.6600000000035</v>
      </c>
      <c r="E6" s="28">
        <v>-2238.4979999999923</v>
      </c>
      <c r="F6" s="29">
        <v>-0.42857142857142616</v>
      </c>
      <c r="G6" s="28">
        <v>-5969.3279999999795</v>
      </c>
      <c r="I6" s="36">
        <v>-140996.99599999998</v>
      </c>
      <c r="J6" s="36">
        <v>-201424.28</v>
      </c>
      <c r="K6" s="36">
        <v>-60427.284000000014</v>
      </c>
      <c r="L6" s="37">
        <v>-0.42857142857142871</v>
      </c>
      <c r="M6" s="36">
        <v>-161139.424</v>
      </c>
      <c r="P6" s="216"/>
    </row>
    <row r="7" spans="1:16" ht="16" customHeight="1" x14ac:dyDescent="0.25">
      <c r="B7" s="14" t="s">
        <v>30</v>
      </c>
      <c r="C7" s="38">
        <v>12370.600200000015</v>
      </c>
      <c r="D7" s="38">
        <v>17672.285999999993</v>
      </c>
      <c r="E7" s="38">
        <v>824.68979999999283</v>
      </c>
      <c r="F7" s="39">
        <v>6.6665302141119376E-2</v>
      </c>
      <c r="G7" s="38">
        <v>14137.828799999959</v>
      </c>
      <c r="I7" s="38">
        <v>305922.76819999993</v>
      </c>
      <c r="J7" s="38">
        <v>437032.52599999995</v>
      </c>
      <c r="K7" s="38">
        <v>10255.189799999993</v>
      </c>
      <c r="L7" s="39">
        <v>3.3522152863416706E-2</v>
      </c>
      <c r="M7" s="38">
        <v>349626.0208</v>
      </c>
      <c r="P7" s="216"/>
    </row>
    <row r="8" spans="1:16" s="43" customFormat="1" ht="16" customHeight="1" x14ac:dyDescent="0.25">
      <c r="A8" s="110"/>
      <c r="B8" s="40" t="s">
        <v>43</v>
      </c>
      <c r="C8" s="41">
        <v>1.7307739995569333</v>
      </c>
      <c r="D8" s="41">
        <v>1.7307739995569333</v>
      </c>
      <c r="E8" s="41">
        <v>0</v>
      </c>
      <c r="F8" s="41"/>
      <c r="G8" s="41">
        <v>1.7307739995569316</v>
      </c>
      <c r="H8" s="41"/>
      <c r="I8" s="42">
        <v>1.8549118437900511</v>
      </c>
      <c r="J8" s="42">
        <v>1.8549118437900514</v>
      </c>
      <c r="K8" s="42">
        <v>0</v>
      </c>
      <c r="L8" s="42"/>
      <c r="M8" s="42">
        <v>1.8549118437900514</v>
      </c>
      <c r="P8" s="216"/>
    </row>
    <row r="9" spans="1:16" ht="16" customHeight="1" x14ac:dyDescent="0.25">
      <c r="A9" s="107" t="s">
        <v>203</v>
      </c>
      <c r="B9" s="14" t="s">
        <v>4</v>
      </c>
      <c r="C9" s="28">
        <v>58.583000000000084</v>
      </c>
      <c r="D9" s="28">
        <v>83.690000000000055</v>
      </c>
      <c r="E9" s="28">
        <v>25.106999999999971</v>
      </c>
      <c r="F9" s="29">
        <v>0.42857142857142744</v>
      </c>
      <c r="G9" s="28">
        <v>66.951999999999771</v>
      </c>
      <c r="I9" s="36">
        <v>2099.5309999999999</v>
      </c>
      <c r="J9" s="36">
        <v>2999.33</v>
      </c>
      <c r="K9" s="36">
        <v>899.79899999999998</v>
      </c>
      <c r="L9" s="37">
        <v>0.42857142857142855</v>
      </c>
      <c r="M9" s="36">
        <v>2399.4639999999999</v>
      </c>
      <c r="P9" s="216"/>
    </row>
    <row r="10" spans="1:16" ht="16" customHeight="1" x14ac:dyDescent="0.25">
      <c r="B10" s="14" t="s">
        <v>194</v>
      </c>
      <c r="C10" s="28">
        <v>-6003.0809999999983</v>
      </c>
      <c r="D10" s="28">
        <v>-8575.8299999999981</v>
      </c>
      <c r="E10" s="28">
        <v>-2572.7489999999998</v>
      </c>
      <c r="F10" s="29">
        <v>-0.42857142857142866</v>
      </c>
      <c r="G10" s="28">
        <v>-6860.6640000000025</v>
      </c>
      <c r="I10" s="36">
        <v>-216961.21299999996</v>
      </c>
      <c r="J10" s="36">
        <v>-309944.58999999997</v>
      </c>
      <c r="K10" s="36">
        <v>-92983.377000000008</v>
      </c>
      <c r="L10" s="37">
        <v>-0.42857142857142866</v>
      </c>
      <c r="M10" s="36">
        <v>-247955.67199999999</v>
      </c>
      <c r="P10" s="216"/>
    </row>
    <row r="11" spans="1:16" ht="16" customHeight="1" x14ac:dyDescent="0.25">
      <c r="A11" s="107" t="s">
        <v>269</v>
      </c>
      <c r="B11" s="14" t="s">
        <v>49</v>
      </c>
      <c r="C11" s="44">
        <v>-79.736999999999625</v>
      </c>
      <c r="D11" s="44">
        <v>-113.90999999999985</v>
      </c>
      <c r="E11" s="44">
        <v>-34.173000000000229</v>
      </c>
      <c r="F11" s="45">
        <v>-0.42857142857143343</v>
      </c>
      <c r="G11" s="44">
        <v>-91.127999999999702</v>
      </c>
      <c r="I11" s="44">
        <v>-3835.4049999999993</v>
      </c>
      <c r="J11" s="44">
        <v>-5479.15</v>
      </c>
      <c r="K11" s="44">
        <v>-1643.7450000000003</v>
      </c>
      <c r="L11" s="45">
        <v>-0.42857142857142871</v>
      </c>
      <c r="M11" s="44">
        <v>-4383.32</v>
      </c>
      <c r="P11" s="216"/>
    </row>
    <row r="12" spans="1:16" ht="16" customHeight="1" x14ac:dyDescent="0.25">
      <c r="A12" s="107" t="s">
        <v>270</v>
      </c>
      <c r="B12" s="14" t="s">
        <v>21</v>
      </c>
      <c r="C12" s="46">
        <v>-352.28199999999742</v>
      </c>
      <c r="D12" s="46">
        <v>-503.2599999999984</v>
      </c>
      <c r="E12" s="46">
        <v>-150.97800000000097</v>
      </c>
      <c r="F12" s="47">
        <v>-0.42857142857143449</v>
      </c>
      <c r="G12" s="46">
        <v>-402.60800000000017</v>
      </c>
      <c r="I12" s="46">
        <v>-10012.659999999998</v>
      </c>
      <c r="J12" s="46">
        <v>-14303.8</v>
      </c>
      <c r="K12" s="46">
        <v>-4291.1400000000012</v>
      </c>
      <c r="L12" s="47">
        <v>-0.42857142857142877</v>
      </c>
      <c r="M12" s="46">
        <v>-11443.04</v>
      </c>
      <c r="P12" s="216"/>
    </row>
    <row r="13" spans="1:16" ht="16" customHeight="1" x14ac:dyDescent="0.25">
      <c r="A13" s="107" t="s">
        <v>290</v>
      </c>
      <c r="B13" s="14" t="s">
        <v>229</v>
      </c>
      <c r="C13" s="46">
        <v>-280.79800000000068</v>
      </c>
      <c r="D13" s="46">
        <v>-401.14000000000124</v>
      </c>
      <c r="E13" s="46">
        <v>-120.34200000000055</v>
      </c>
      <c r="F13" s="47">
        <v>-0.42857142857142949</v>
      </c>
      <c r="G13" s="46">
        <v>-320.91200000000026</v>
      </c>
      <c r="I13" s="46">
        <v>-9145.2199999999993</v>
      </c>
      <c r="J13" s="46">
        <v>-13064.6</v>
      </c>
      <c r="K13" s="46">
        <v>-3919.380000000001</v>
      </c>
      <c r="L13" s="47">
        <v>-0.42857142857142871</v>
      </c>
      <c r="M13" s="46">
        <v>-10451.68</v>
      </c>
      <c r="P13" s="216"/>
    </row>
    <row r="14" spans="1:16" ht="16" customHeight="1" x14ac:dyDescent="0.25">
      <c r="A14" s="107" t="s">
        <v>271</v>
      </c>
      <c r="B14" s="14" t="s">
        <v>50</v>
      </c>
      <c r="C14" s="46">
        <v>-116.52200000000084</v>
      </c>
      <c r="D14" s="46">
        <v>-166.46000000000095</v>
      </c>
      <c r="E14" s="46">
        <v>-49.938000000000102</v>
      </c>
      <c r="F14" s="47">
        <v>-0.42857142857142633</v>
      </c>
      <c r="G14" s="46">
        <v>-133.16800000000148</v>
      </c>
      <c r="I14" s="46">
        <v>-10572.512999999999</v>
      </c>
      <c r="J14" s="46">
        <v>-15103.59</v>
      </c>
      <c r="K14" s="46">
        <v>-4531.0770000000011</v>
      </c>
      <c r="L14" s="47">
        <v>-0.42857142857142871</v>
      </c>
      <c r="M14" s="46">
        <v>-12082.872000000001</v>
      </c>
      <c r="P14" s="216"/>
    </row>
    <row r="15" spans="1:16" ht="16" customHeight="1" x14ac:dyDescent="0.25">
      <c r="A15" s="107" t="s">
        <v>272</v>
      </c>
      <c r="B15" s="14" t="s">
        <v>51</v>
      </c>
      <c r="C15" s="46">
        <v>-105.06999999999971</v>
      </c>
      <c r="D15" s="46">
        <v>-150.09999999999945</v>
      </c>
      <c r="E15" s="46">
        <v>-45.029999999999745</v>
      </c>
      <c r="F15" s="47">
        <v>-0.42857142857142733</v>
      </c>
      <c r="G15" s="46">
        <v>-120.07999999999993</v>
      </c>
      <c r="I15" s="46">
        <v>-3814.9299999999994</v>
      </c>
      <c r="J15" s="46">
        <v>-5449.9</v>
      </c>
      <c r="K15" s="46">
        <v>-1634.9700000000003</v>
      </c>
      <c r="L15" s="47">
        <v>-0.42857142857142871</v>
      </c>
      <c r="M15" s="46">
        <v>-4359.92</v>
      </c>
      <c r="P15" s="216"/>
    </row>
    <row r="16" spans="1:16" ht="16" customHeight="1" x14ac:dyDescent="0.25">
      <c r="A16" s="107" t="s">
        <v>273</v>
      </c>
      <c r="B16" s="14" t="s">
        <v>52</v>
      </c>
      <c r="C16" s="46">
        <v>-308.53900000000067</v>
      </c>
      <c r="D16" s="46">
        <v>-440.77000000000044</v>
      </c>
      <c r="E16" s="46">
        <v>-132.23099999999977</v>
      </c>
      <c r="F16" s="47">
        <v>-0.42857142857142688</v>
      </c>
      <c r="G16" s="46">
        <v>-352.61599999999999</v>
      </c>
      <c r="I16" s="46">
        <v>-8690.4650000000001</v>
      </c>
      <c r="J16" s="46">
        <v>-12414.95</v>
      </c>
      <c r="K16" s="46">
        <v>-3724.4850000000006</v>
      </c>
      <c r="L16" s="47">
        <v>-0.42857142857142866</v>
      </c>
      <c r="M16" s="46">
        <v>-9931.9600000000009</v>
      </c>
      <c r="P16" s="216"/>
    </row>
    <row r="17" spans="1:16" ht="16" customHeight="1" x14ac:dyDescent="0.25">
      <c r="A17" s="107" t="s">
        <v>274</v>
      </c>
      <c r="B17" s="14" t="s">
        <v>53</v>
      </c>
      <c r="C17" s="46">
        <v>-303.9890000000014</v>
      </c>
      <c r="D17" s="46">
        <v>-434.27000000000044</v>
      </c>
      <c r="E17" s="46">
        <v>-130.28099999999904</v>
      </c>
      <c r="F17" s="47">
        <v>-0.42857142857142344</v>
      </c>
      <c r="G17" s="46">
        <v>-347.41600000000108</v>
      </c>
      <c r="I17" s="46">
        <v>-9633.2950000000001</v>
      </c>
      <c r="J17" s="46">
        <v>-13761.85</v>
      </c>
      <c r="K17" s="46">
        <v>-4128.5550000000003</v>
      </c>
      <c r="L17" s="47">
        <v>-0.4285714285714286</v>
      </c>
      <c r="M17" s="46">
        <v>-11009.480000000001</v>
      </c>
      <c r="P17" s="216"/>
    </row>
    <row r="18" spans="1:16" ht="16" customHeight="1" x14ac:dyDescent="0.25">
      <c r="A18" s="107" t="s">
        <v>289</v>
      </c>
      <c r="B18" s="14" t="s">
        <v>66</v>
      </c>
      <c r="C18" s="46">
        <v>-219.30299999999988</v>
      </c>
      <c r="D18" s="46">
        <v>-313.29000000000087</v>
      </c>
      <c r="E18" s="46">
        <v>-93.98700000000099</v>
      </c>
      <c r="F18" s="47">
        <v>-0.42857142857143332</v>
      </c>
      <c r="G18" s="46">
        <v>-250.63200000000143</v>
      </c>
      <c r="I18" s="46">
        <v>-8885.884</v>
      </c>
      <c r="J18" s="46">
        <v>-12694.12</v>
      </c>
      <c r="K18" s="46">
        <v>-3808.2360000000008</v>
      </c>
      <c r="L18" s="47">
        <v>-0.42857142857142866</v>
      </c>
      <c r="M18" s="46">
        <v>-10155.296000000002</v>
      </c>
      <c r="P18" s="216"/>
    </row>
    <row r="19" spans="1:16" ht="16" customHeight="1" x14ac:dyDescent="0.25">
      <c r="A19" s="107" t="s">
        <v>275</v>
      </c>
      <c r="B19" s="14" t="s">
        <v>54</v>
      </c>
      <c r="C19" s="46">
        <v>-91.273000000000138</v>
      </c>
      <c r="D19" s="46">
        <v>-130.39000000000033</v>
      </c>
      <c r="E19" s="46">
        <v>-39.117000000000189</v>
      </c>
      <c r="F19" s="47">
        <v>-0.42857142857142999</v>
      </c>
      <c r="G19" s="46">
        <v>-104.3119999999999</v>
      </c>
      <c r="I19" s="46">
        <v>-2457.3989999999999</v>
      </c>
      <c r="J19" s="46">
        <v>-3510.57</v>
      </c>
      <c r="K19" s="46">
        <v>-1053.1710000000003</v>
      </c>
      <c r="L19" s="47">
        <v>-0.42857142857142871</v>
      </c>
      <c r="M19" s="46">
        <v>-2808.4560000000001</v>
      </c>
      <c r="P19" s="216"/>
    </row>
    <row r="20" spans="1:16" ht="16" customHeight="1" x14ac:dyDescent="0.25">
      <c r="A20" s="107" t="s">
        <v>276</v>
      </c>
      <c r="B20" s="14" t="s">
        <v>55</v>
      </c>
      <c r="C20" s="46">
        <v>-294.83999999999833</v>
      </c>
      <c r="D20" s="46">
        <v>-421.19999999999891</v>
      </c>
      <c r="E20" s="46">
        <v>-126.36000000000058</v>
      </c>
      <c r="F20" s="47">
        <v>-0.42857142857143299</v>
      </c>
      <c r="G20" s="46">
        <v>-336.95999999999913</v>
      </c>
      <c r="I20" s="46">
        <v>-8736.2169999999987</v>
      </c>
      <c r="J20" s="46">
        <v>-12480.31</v>
      </c>
      <c r="K20" s="46">
        <v>-3744.0930000000008</v>
      </c>
      <c r="L20" s="47">
        <v>-0.42857142857142871</v>
      </c>
      <c r="M20" s="46">
        <v>-9984.2479999999996</v>
      </c>
      <c r="P20" s="216"/>
    </row>
    <row r="21" spans="1:16" ht="16" customHeight="1" x14ac:dyDescent="0.25">
      <c r="A21" s="107" t="s">
        <v>277</v>
      </c>
      <c r="B21" s="14" t="s">
        <v>56</v>
      </c>
      <c r="C21" s="46">
        <v>-275.78600000000006</v>
      </c>
      <c r="D21" s="46">
        <v>-393.97999999999956</v>
      </c>
      <c r="E21" s="46">
        <v>-118.19399999999951</v>
      </c>
      <c r="F21" s="47">
        <v>-0.42857142857142666</v>
      </c>
      <c r="G21" s="46">
        <v>-315.18399999999929</v>
      </c>
      <c r="I21" s="46">
        <v>-8590.735999999999</v>
      </c>
      <c r="J21" s="46">
        <v>-12272.48</v>
      </c>
      <c r="K21" s="46">
        <v>-3681.7440000000006</v>
      </c>
      <c r="L21" s="47">
        <v>-0.42857142857142871</v>
      </c>
      <c r="M21" s="46">
        <v>-9817.9840000000004</v>
      </c>
      <c r="P21" s="216"/>
    </row>
    <row r="22" spans="1:16" ht="16" customHeight="1" x14ac:dyDescent="0.25">
      <c r="A22" s="107" t="s">
        <v>278</v>
      </c>
      <c r="B22" s="14" t="s">
        <v>57</v>
      </c>
      <c r="C22" s="46">
        <v>-269.81500000000051</v>
      </c>
      <c r="D22" s="46">
        <v>-385.45000000000073</v>
      </c>
      <c r="E22" s="46">
        <v>-115.63500000000022</v>
      </c>
      <c r="F22" s="47">
        <v>-0.42857142857142855</v>
      </c>
      <c r="G22" s="46">
        <v>-308.36000000000058</v>
      </c>
      <c r="I22" s="46">
        <v>-14788.514999999999</v>
      </c>
      <c r="J22" s="46">
        <v>-21126.45</v>
      </c>
      <c r="K22" s="46">
        <v>-6337.9350000000013</v>
      </c>
      <c r="L22" s="47">
        <v>-0.42857142857142866</v>
      </c>
      <c r="M22" s="46">
        <v>-16901.16</v>
      </c>
      <c r="P22" s="216"/>
    </row>
    <row r="23" spans="1:16" ht="16" customHeight="1" x14ac:dyDescent="0.25">
      <c r="A23" s="107" t="s">
        <v>279</v>
      </c>
      <c r="B23" s="14" t="s">
        <v>58</v>
      </c>
      <c r="C23" s="46">
        <v>-22.770999999999958</v>
      </c>
      <c r="D23" s="46">
        <v>-32.529999999999973</v>
      </c>
      <c r="E23" s="46">
        <v>-9.7590000000000146</v>
      </c>
      <c r="F23" s="47">
        <v>-0.42857142857142999</v>
      </c>
      <c r="G23" s="46">
        <v>-26.023999999999887</v>
      </c>
      <c r="I23" s="46">
        <v>-1110.6199999999999</v>
      </c>
      <c r="J23" s="46">
        <v>-1586.6</v>
      </c>
      <c r="K23" s="46">
        <v>-475.98</v>
      </c>
      <c r="L23" s="47">
        <v>-0.4285714285714286</v>
      </c>
      <c r="M23" s="46">
        <v>-1269.28</v>
      </c>
      <c r="P23" s="216"/>
    </row>
    <row r="24" spans="1:16" ht="16" customHeight="1" x14ac:dyDescent="0.25">
      <c r="A24" s="107" t="s">
        <v>280</v>
      </c>
      <c r="B24" s="14" t="s">
        <v>59</v>
      </c>
      <c r="C24" s="46">
        <v>-52.24799999999982</v>
      </c>
      <c r="D24" s="46">
        <v>-74.639999999999873</v>
      </c>
      <c r="E24" s="46">
        <v>-22.392000000000053</v>
      </c>
      <c r="F24" s="47">
        <v>-0.42857142857143105</v>
      </c>
      <c r="G24" s="46">
        <v>-59.711999999999989</v>
      </c>
      <c r="I24" s="46">
        <v>-1472.7509999999997</v>
      </c>
      <c r="J24" s="46">
        <v>-2103.9299999999998</v>
      </c>
      <c r="K24" s="46">
        <v>-631.17900000000009</v>
      </c>
      <c r="L24" s="47">
        <v>-0.42857142857142871</v>
      </c>
      <c r="M24" s="46">
        <v>-1683.144</v>
      </c>
      <c r="P24" s="216"/>
    </row>
    <row r="25" spans="1:16" ht="16" customHeight="1" x14ac:dyDescent="0.25">
      <c r="A25" s="107" t="s">
        <v>287</v>
      </c>
      <c r="B25" s="14" t="s">
        <v>224</v>
      </c>
      <c r="C25" s="46">
        <v>-982.12099999999919</v>
      </c>
      <c r="D25" s="46">
        <v>-1403.0299999999988</v>
      </c>
      <c r="E25" s="46">
        <v>-420.90899999999965</v>
      </c>
      <c r="F25" s="47">
        <v>-0.42857142857142855</v>
      </c>
      <c r="G25" s="46">
        <v>-1122.4239999999991</v>
      </c>
      <c r="I25" s="46">
        <v>-32387.907999999999</v>
      </c>
      <c r="J25" s="46">
        <v>-46268.44</v>
      </c>
      <c r="K25" s="46">
        <v>-13880.532000000003</v>
      </c>
      <c r="L25" s="47">
        <v>-0.42857142857142866</v>
      </c>
      <c r="M25" s="46">
        <v>-37014.752</v>
      </c>
      <c r="P25" s="216"/>
    </row>
    <row r="26" spans="1:16" ht="16" customHeight="1" x14ac:dyDescent="0.25">
      <c r="A26" s="107" t="s">
        <v>288</v>
      </c>
      <c r="B26" s="14" t="s">
        <v>226</v>
      </c>
      <c r="C26" s="46">
        <v>-528.86399999999776</v>
      </c>
      <c r="D26" s="46">
        <v>-755.5199999999968</v>
      </c>
      <c r="E26" s="46">
        <v>-226.65599999999904</v>
      </c>
      <c r="F26" s="47">
        <v>-0.42857142857142855</v>
      </c>
      <c r="G26" s="46">
        <v>-604.41599999999744</v>
      </c>
      <c r="I26" s="46">
        <v>-30381.798999999999</v>
      </c>
      <c r="J26" s="46">
        <v>-43402.57</v>
      </c>
      <c r="K26" s="46">
        <v>-13020.771000000001</v>
      </c>
      <c r="L26" s="47">
        <v>-0.4285714285714286</v>
      </c>
      <c r="M26" s="46">
        <v>-34722.056000000004</v>
      </c>
      <c r="P26" s="216"/>
    </row>
    <row r="27" spans="1:16" ht="16" customHeight="1" x14ac:dyDescent="0.25">
      <c r="A27" s="107" t="s">
        <v>281</v>
      </c>
      <c r="B27" s="14" t="s">
        <v>60</v>
      </c>
      <c r="C27" s="46">
        <v>-135.40099999999984</v>
      </c>
      <c r="D27" s="46">
        <v>-193.43000000000029</v>
      </c>
      <c r="E27" s="46">
        <v>-58.029000000000451</v>
      </c>
      <c r="F27" s="47">
        <v>-0.42857142857143243</v>
      </c>
      <c r="G27" s="46">
        <v>-154.7440000000006</v>
      </c>
      <c r="I27" s="46">
        <v>-4169.8509999999997</v>
      </c>
      <c r="J27" s="46">
        <v>-5956.93</v>
      </c>
      <c r="K27" s="46">
        <v>-1787.0790000000006</v>
      </c>
      <c r="L27" s="47">
        <v>-0.42857142857142877</v>
      </c>
      <c r="M27" s="46">
        <v>-4765.5440000000008</v>
      </c>
      <c r="P27" s="216"/>
    </row>
    <row r="28" spans="1:16" ht="16" customHeight="1" x14ac:dyDescent="0.25">
      <c r="A28" s="107" t="s">
        <v>282</v>
      </c>
      <c r="B28" s="14" t="s">
        <v>61</v>
      </c>
      <c r="C28" s="46">
        <v>-224.34299999999894</v>
      </c>
      <c r="D28" s="46">
        <v>-320.48999999999978</v>
      </c>
      <c r="E28" s="46">
        <v>-96.147000000000844</v>
      </c>
      <c r="F28" s="47">
        <v>-0.42857142857143438</v>
      </c>
      <c r="G28" s="46">
        <v>-256.39199999999983</v>
      </c>
      <c r="I28" s="46">
        <v>-8885.4709999999995</v>
      </c>
      <c r="J28" s="46">
        <v>-12693.53</v>
      </c>
      <c r="K28" s="46">
        <v>-3808.0590000000011</v>
      </c>
      <c r="L28" s="47">
        <v>-0.42857142857142871</v>
      </c>
      <c r="M28" s="46">
        <v>-10154.824000000001</v>
      </c>
      <c r="P28" s="216"/>
    </row>
    <row r="29" spans="1:16" ht="16" customHeight="1" x14ac:dyDescent="0.25">
      <c r="A29" s="107" t="s">
        <v>283</v>
      </c>
      <c r="B29" s="14" t="s">
        <v>62</v>
      </c>
      <c r="C29" s="46">
        <v>-214.64800000000014</v>
      </c>
      <c r="D29" s="46">
        <v>-306.64000000000033</v>
      </c>
      <c r="E29" s="46">
        <v>-91.992000000000189</v>
      </c>
      <c r="F29" s="47">
        <v>-0.42857142857142916</v>
      </c>
      <c r="G29" s="46">
        <v>-245.31200000000081</v>
      </c>
      <c r="I29" s="46">
        <v>-5646.5219999999999</v>
      </c>
      <c r="J29" s="46">
        <v>-8066.46</v>
      </c>
      <c r="K29" s="46">
        <v>-2419.9380000000001</v>
      </c>
      <c r="L29" s="47">
        <v>-0.4285714285714286</v>
      </c>
      <c r="M29" s="46">
        <v>-6453.1680000000006</v>
      </c>
      <c r="P29" s="216"/>
    </row>
    <row r="30" spans="1:16" ht="16" customHeight="1" x14ac:dyDescent="0.25">
      <c r="A30" s="107" t="s">
        <v>284</v>
      </c>
      <c r="B30" s="14" t="s">
        <v>63</v>
      </c>
      <c r="C30" s="46">
        <v>-52.717000000000098</v>
      </c>
      <c r="D30" s="46">
        <v>-75.309999999999945</v>
      </c>
      <c r="E30" s="46">
        <v>-22.592999999999847</v>
      </c>
      <c r="F30" s="47">
        <v>-0.42857142857142488</v>
      </c>
      <c r="G30" s="46">
        <v>-60.248000000000047</v>
      </c>
      <c r="I30" s="46">
        <v>-2721.3409999999999</v>
      </c>
      <c r="J30" s="46">
        <v>-3887.63</v>
      </c>
      <c r="K30" s="46">
        <v>-1166.2890000000002</v>
      </c>
      <c r="L30" s="47">
        <v>-0.42857142857142866</v>
      </c>
      <c r="M30" s="46">
        <v>-3110.1040000000003</v>
      </c>
      <c r="P30" s="216"/>
    </row>
    <row r="31" spans="1:16" ht="16" customHeight="1" x14ac:dyDescent="0.25">
      <c r="A31" s="107" t="s">
        <v>285</v>
      </c>
      <c r="B31" s="14" t="s">
        <v>64</v>
      </c>
      <c r="C31" s="46">
        <v>-74.941999999999553</v>
      </c>
      <c r="D31" s="46">
        <v>-107.05999999999949</v>
      </c>
      <c r="E31" s="46">
        <v>-32.117999999999938</v>
      </c>
      <c r="F31" s="47">
        <v>-0.42857142857143032</v>
      </c>
      <c r="G31" s="46">
        <v>-85.647999999999683</v>
      </c>
      <c r="I31" s="46">
        <v>-3349.7519999999995</v>
      </c>
      <c r="J31" s="46">
        <v>-4785.3599999999997</v>
      </c>
      <c r="K31" s="46">
        <v>-1435.6080000000002</v>
      </c>
      <c r="L31" s="47">
        <v>-0.42857142857142871</v>
      </c>
      <c r="M31" s="46">
        <v>-3828.288</v>
      </c>
      <c r="P31" s="216"/>
    </row>
    <row r="32" spans="1:16" ht="16" customHeight="1" x14ac:dyDescent="0.25">
      <c r="A32" s="107" t="s">
        <v>286</v>
      </c>
      <c r="B32" s="14" t="s">
        <v>65</v>
      </c>
      <c r="C32" s="46">
        <v>-449.07799999999952</v>
      </c>
      <c r="D32" s="46">
        <v>-641.53999999999905</v>
      </c>
      <c r="E32" s="46">
        <v>-192.46199999999953</v>
      </c>
      <c r="F32" s="47">
        <v>-0.42857142857142799</v>
      </c>
      <c r="G32" s="46">
        <v>-513.23199999999997</v>
      </c>
      <c r="I32" s="46">
        <v>-11496.946999999998</v>
      </c>
      <c r="J32" s="46">
        <v>-16424.21</v>
      </c>
      <c r="K32" s="46">
        <v>-4927.2630000000008</v>
      </c>
      <c r="L32" s="47">
        <v>-0.42857142857142871</v>
      </c>
      <c r="M32" s="46">
        <v>-13139.368</v>
      </c>
      <c r="P32" s="216"/>
    </row>
    <row r="33" spans="1:16" ht="16" customHeight="1" x14ac:dyDescent="0.25">
      <c r="A33" s="107" t="s">
        <v>245</v>
      </c>
      <c r="B33" s="14" t="s">
        <v>22</v>
      </c>
      <c r="C33" s="48">
        <v>-567.99400000000423</v>
      </c>
      <c r="D33" s="48">
        <v>-811.42000000000189</v>
      </c>
      <c r="E33" s="48">
        <v>-243.42599999999766</v>
      </c>
      <c r="F33" s="49">
        <v>-0.42857142857142128</v>
      </c>
      <c r="G33" s="48">
        <v>-649.13600000000224</v>
      </c>
      <c r="I33" s="48">
        <v>-16175.012000000001</v>
      </c>
      <c r="J33" s="48">
        <v>-23107.16</v>
      </c>
      <c r="K33" s="48">
        <v>-6932.1479999999992</v>
      </c>
      <c r="L33" s="49">
        <v>-0.42857142857142849</v>
      </c>
      <c r="M33" s="48">
        <v>-18485.728000000003</v>
      </c>
      <c r="P33" s="216"/>
    </row>
    <row r="34" spans="1:16" ht="16" customHeight="1" x14ac:dyDescent="0.25">
      <c r="B34" s="14" t="s">
        <v>234</v>
      </c>
      <c r="C34" s="28">
        <v>18432.264200000012</v>
      </c>
      <c r="D34" s="28">
        <v>26331.80599999999</v>
      </c>
      <c r="E34" s="28">
        <v>7899.5417999999772</v>
      </c>
      <c r="F34" s="29">
        <v>0.42857142857142705</v>
      </c>
      <c r="G34" s="28">
        <v>21065.444799999961</v>
      </c>
      <c r="I34" s="36">
        <v>524983.51219999988</v>
      </c>
      <c r="J34" s="36">
        <v>749976.446</v>
      </c>
      <c r="K34" s="36">
        <v>224992.93380000012</v>
      </c>
      <c r="L34" s="37">
        <v>0.42857142857142888</v>
      </c>
      <c r="M34" s="36">
        <v>599981.1568</v>
      </c>
      <c r="P34" s="216"/>
    </row>
    <row r="35" spans="1:16" ht="16" customHeight="1" x14ac:dyDescent="0.25">
      <c r="A35" s="107" t="s">
        <v>243</v>
      </c>
      <c r="B35" s="14" t="s">
        <v>23</v>
      </c>
      <c r="C35" s="28">
        <v>-71.917999999999665</v>
      </c>
      <c r="D35" s="28">
        <v>-102.73999999999978</v>
      </c>
      <c r="E35" s="28">
        <v>-30.822000000000116</v>
      </c>
      <c r="F35" s="29">
        <v>-0.42857142857143221</v>
      </c>
      <c r="G35" s="28">
        <v>-82.192000000000007</v>
      </c>
      <c r="I35" s="36">
        <v>-3494.5329999999994</v>
      </c>
      <c r="J35" s="36">
        <v>-4992.1899999999996</v>
      </c>
      <c r="K35" s="36">
        <v>1497.6570000000002</v>
      </c>
      <c r="L35" s="37">
        <v>0.42857142857142866</v>
      </c>
      <c r="M35" s="36">
        <v>-3993.752</v>
      </c>
      <c r="P35" s="216"/>
    </row>
    <row r="36" spans="1:16" ht="16" customHeight="1" x14ac:dyDescent="0.25">
      <c r="B36" s="14" t="s">
        <v>31</v>
      </c>
      <c r="C36" s="38">
        <v>18504.18220000001</v>
      </c>
      <c r="D36" s="38">
        <v>26434.545999999988</v>
      </c>
      <c r="E36" s="38">
        <v>7930.3637999999773</v>
      </c>
      <c r="F36" s="39">
        <v>0.4285714285714271</v>
      </c>
      <c r="G36" s="38">
        <v>21147.63679999996</v>
      </c>
      <c r="I36" s="38">
        <v>528478.04519999993</v>
      </c>
      <c r="J36" s="38">
        <v>754968.63599999994</v>
      </c>
      <c r="K36" s="38">
        <v>226490.59080000012</v>
      </c>
      <c r="L36" s="39">
        <v>0.42857142857142888</v>
      </c>
      <c r="M36" s="38">
        <v>603974.90879999998</v>
      </c>
      <c r="P36" s="216"/>
    </row>
    <row r="37" spans="1:16" ht="16" customHeight="1" x14ac:dyDescent="0.25">
      <c r="A37" s="107" t="s">
        <v>244</v>
      </c>
      <c r="B37" s="14" t="s">
        <v>199</v>
      </c>
      <c r="C37" s="28">
        <v>-228.96299999999974</v>
      </c>
      <c r="D37" s="28">
        <v>-327.09000000000015</v>
      </c>
      <c r="E37" s="28">
        <v>-98.127000000000407</v>
      </c>
      <c r="F37" s="29">
        <v>-0.42857142857143082</v>
      </c>
      <c r="G37" s="28">
        <v>-261.67200000000048</v>
      </c>
      <c r="I37" s="36">
        <v>-9209.7389999999996</v>
      </c>
      <c r="J37" s="36">
        <v>-13156.77</v>
      </c>
      <c r="K37" s="36">
        <v>-3947.0310000000009</v>
      </c>
      <c r="L37" s="37">
        <v>-0.42857142857142866</v>
      </c>
      <c r="M37" s="36">
        <v>-10525.416000000001</v>
      </c>
      <c r="P37" s="216"/>
    </row>
    <row r="38" spans="1:16" ht="16" customHeight="1" x14ac:dyDescent="0.25">
      <c r="B38" s="14" t="s">
        <v>75</v>
      </c>
      <c r="C38" s="38">
        <v>18733.14520000001</v>
      </c>
      <c r="D38" s="38">
        <v>26761.635999999988</v>
      </c>
      <c r="E38" s="38">
        <v>8028.4907999999778</v>
      </c>
      <c r="F38" s="39">
        <v>0.42857142857142716</v>
      </c>
      <c r="G38" s="38">
        <v>21409.308799999963</v>
      </c>
      <c r="I38" s="38">
        <v>537687.78419999988</v>
      </c>
      <c r="J38" s="38">
        <v>768125.40599999996</v>
      </c>
      <c r="K38" s="38">
        <v>222543.55980000013</v>
      </c>
      <c r="L38" s="39">
        <v>0.41388993081014874</v>
      </c>
      <c r="M38" s="38">
        <v>614500.32479999994</v>
      </c>
      <c r="P38" s="216"/>
    </row>
    <row r="39" spans="1:16" ht="16" customHeight="1" x14ac:dyDescent="0.25">
      <c r="A39" s="107" t="s">
        <v>268</v>
      </c>
      <c r="B39" s="14" t="s">
        <v>237</v>
      </c>
      <c r="C39" s="28">
        <v>410540.39320000005</v>
      </c>
      <c r="D39" s="28">
        <v>586486.27600000019</v>
      </c>
      <c r="E39" s="28">
        <v>175945.88280000014</v>
      </c>
      <c r="F39" s="29">
        <v>0.42857142857142888</v>
      </c>
      <c r="G39" s="28">
        <v>469189.02080000006</v>
      </c>
      <c r="I39" s="36">
        <v>938751.13219999999</v>
      </c>
      <c r="J39" s="36">
        <v>1341073.0460000001</v>
      </c>
      <c r="K39" s="36">
        <v>402321.9138000001</v>
      </c>
      <c r="L39" s="37">
        <v>0.42857142857142866</v>
      </c>
      <c r="M39" s="36">
        <v>1072858.4368</v>
      </c>
      <c r="P39" s="216"/>
    </row>
    <row r="40" spans="1:16" ht="16" customHeight="1" x14ac:dyDescent="0.25">
      <c r="A40" s="107" t="s">
        <v>246</v>
      </c>
      <c r="B40" s="14" t="s">
        <v>24</v>
      </c>
      <c r="C40" s="28">
        <v>-261.57600000000093</v>
      </c>
      <c r="D40" s="28">
        <v>-373.68000000000029</v>
      </c>
      <c r="E40" s="28">
        <v>-112.10399999999936</v>
      </c>
      <c r="F40" s="29">
        <v>-0.42857142857142461</v>
      </c>
      <c r="G40" s="28">
        <v>-298.94399999999951</v>
      </c>
      <c r="I40" s="36">
        <v>-9517.6759999999995</v>
      </c>
      <c r="J40" s="36">
        <v>-13596.68</v>
      </c>
      <c r="K40" s="36">
        <v>-4079.0040000000008</v>
      </c>
      <c r="L40" s="37">
        <v>-0.42857142857142866</v>
      </c>
      <c r="M40" s="36">
        <v>-10877.344000000001</v>
      </c>
      <c r="P40" s="216"/>
    </row>
    <row r="41" spans="1:16" s="3" customFormat="1" ht="16" customHeight="1" thickBot="1" x14ac:dyDescent="0.3">
      <c r="A41" s="111"/>
      <c r="B41" s="50" t="s">
        <v>74</v>
      </c>
      <c r="C41" s="51">
        <v>429535.11440000008</v>
      </c>
      <c r="D41" s="51">
        <v>613621.59200000018</v>
      </c>
      <c r="E41" s="51">
        <v>183862.26960000012</v>
      </c>
      <c r="F41" s="52">
        <v>0.42804945029192726</v>
      </c>
      <c r="G41" s="51">
        <v>490897.27360000001</v>
      </c>
      <c r="I41" s="51">
        <v>1485956.5924</v>
      </c>
      <c r="J41" s="51">
        <v>2122795.1320000002</v>
      </c>
      <c r="K41" s="51">
        <v>620786.4696000003</v>
      </c>
      <c r="L41" s="52">
        <v>0.41776891248038067</v>
      </c>
      <c r="M41" s="51">
        <v>1698236.1055999999</v>
      </c>
      <c r="N41" s="53"/>
      <c r="P41" s="216"/>
    </row>
    <row r="42" spans="1:16" ht="16" customHeight="1" thickTop="1" x14ac:dyDescent="0.25">
      <c r="I42" s="36"/>
      <c r="J42" s="36"/>
      <c r="K42" s="36"/>
      <c r="L42" s="37"/>
      <c r="M42" s="36"/>
    </row>
    <row r="43" spans="1:16" ht="16" customHeight="1" x14ac:dyDescent="0.25">
      <c r="B43" s="14" t="s">
        <v>345</v>
      </c>
      <c r="C43" s="117"/>
      <c r="D43" s="117"/>
      <c r="E43" s="117"/>
      <c r="G43" s="117"/>
      <c r="I43" s="117">
        <v>-127.7732858725329</v>
      </c>
      <c r="J43" s="117">
        <v>-127.77328587253291</v>
      </c>
      <c r="K43" s="117">
        <v>0</v>
      </c>
      <c r="M43" s="117">
        <v>-127.7732858725329</v>
      </c>
    </row>
    <row r="44" spans="1:16" ht="16" customHeight="1" x14ac:dyDescent="0.25">
      <c r="B44" s="14" t="s">
        <v>346</v>
      </c>
      <c r="C44" s="37"/>
      <c r="D44" s="37"/>
      <c r="E44" s="37"/>
      <c r="G44" s="37"/>
      <c r="I44" s="37">
        <v>-1.1931621481067989</v>
      </c>
      <c r="J44" s="37">
        <v>-1.1931621481067993</v>
      </c>
      <c r="K44" s="37">
        <v>0</v>
      </c>
      <c r="M44" s="37">
        <v>-1.1931621481067989</v>
      </c>
    </row>
    <row r="45" spans="1:16" ht="16" customHeight="1" x14ac:dyDescent="0.25">
      <c r="B45" s="14" t="s">
        <v>347</v>
      </c>
      <c r="C45" s="37"/>
      <c r="D45" s="37"/>
      <c r="E45" s="37"/>
      <c r="G45" s="37"/>
      <c r="I45" s="37">
        <v>-1.2594657173927157</v>
      </c>
      <c r="J45" s="37">
        <v>-1.2594657173927157</v>
      </c>
      <c r="K45" s="37">
        <v>0</v>
      </c>
      <c r="M45" s="37">
        <v>-1.2594657173927157</v>
      </c>
    </row>
  </sheetData>
  <sheetProtection algorithmName="SHA-512" hashValue="k3aWxtiRABBUZ04eYw3WWry4sSpvIEHWe4Hwv137ioKnlDtzxORvl+DbuPz1Z7kLAsHtOMWQk90DsbHMV9z8wA==" saltValue="KpQU6JB+0v/QGapS9rfz8Q==" spinCount="100000" sheet="1" objects="1" scenarios="1"/>
  <mergeCells count="2">
    <mergeCell ref="C3:G3"/>
    <mergeCell ref="I3:M3"/>
  </mergeCells>
  <pageMargins left="0.55118110236220474" right="0.55118110236220474" top="0.55118110236220474" bottom="0.55118110236220474" header="0.39370078740157483" footer="0.39370078740157483"/>
  <pageSetup paperSize="9" scale="66" orientation="landscape" r:id="rId1"/>
  <headerFooter>
    <oddFooter>&amp;C&amp;9Page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N50"/>
  <sheetViews>
    <sheetView zoomScale="95" zoomScaleNormal="95" workbookViewId="0">
      <pane ySplit="4" topLeftCell="A5" activePane="bottomLeft" state="frozen"/>
      <selection activeCell="B4" sqref="B4"/>
      <selection pane="bottomLeft" activeCell="J21" sqref="J21"/>
    </sheetView>
  </sheetViews>
  <sheetFormatPr defaultColWidth="9.08984375" defaultRowHeight="16" customHeight="1" x14ac:dyDescent="0.25"/>
  <cols>
    <col min="1" max="1" width="8.6328125" style="107" customWidth="1"/>
    <col min="2" max="2" width="40.81640625" style="14" customWidth="1"/>
    <col min="3" max="5" width="12.6328125" style="28" customWidth="1"/>
    <col min="6" max="6" width="12.6328125" style="29" customWidth="1"/>
    <col min="7" max="7" width="12.6328125" style="28" customWidth="1"/>
    <col min="8" max="8" width="2.6328125" style="1" customWidth="1"/>
    <col min="9" max="11" width="12.6328125" style="28" customWidth="1"/>
    <col min="12" max="12" width="12.6328125" style="29" customWidth="1"/>
    <col min="13" max="13" width="12.6328125" style="28" customWidth="1"/>
    <col min="14" max="14" width="2.6328125" style="21" customWidth="1"/>
    <col min="15" max="16384" width="9.08984375" style="1"/>
  </cols>
  <sheetData>
    <row r="1" spans="1:14" ht="16" customHeight="1" x14ac:dyDescent="0.3">
      <c r="B1" s="106" t="s">
        <v>307</v>
      </c>
    </row>
    <row r="2" spans="1:14" s="32" customFormat="1" ht="16" customHeight="1" x14ac:dyDescent="0.25">
      <c r="A2" s="108"/>
      <c r="B2" s="30" t="s">
        <v>379</v>
      </c>
      <c r="C2" s="55"/>
      <c r="D2" s="55"/>
      <c r="E2" s="55"/>
      <c r="F2" s="56"/>
      <c r="G2" s="55"/>
      <c r="I2" s="55"/>
      <c r="J2" s="55"/>
      <c r="K2" s="55"/>
      <c r="L2" s="56"/>
      <c r="M2" s="55"/>
      <c r="N2" s="33"/>
    </row>
    <row r="3" spans="1:14" s="32" customFormat="1" ht="18" customHeight="1" x14ac:dyDescent="0.25">
      <c r="A3" s="108"/>
      <c r="B3" s="31" t="s">
        <v>36</v>
      </c>
      <c r="C3" s="291" t="s">
        <v>73</v>
      </c>
      <c r="D3" s="292"/>
      <c r="E3" s="292"/>
      <c r="F3" s="292"/>
      <c r="G3" s="293"/>
      <c r="I3" s="291" t="s">
        <v>72</v>
      </c>
      <c r="J3" s="292"/>
      <c r="K3" s="292"/>
      <c r="L3" s="292"/>
      <c r="M3" s="293"/>
      <c r="N3" s="33"/>
    </row>
    <row r="4" spans="1:14" s="20" customFormat="1" ht="18" customHeight="1" x14ac:dyDescent="0.25">
      <c r="A4" s="112"/>
      <c r="B4" s="12"/>
      <c r="C4" s="34" t="s">
        <v>40</v>
      </c>
      <c r="D4" s="34" t="s">
        <v>39</v>
      </c>
      <c r="E4" s="34" t="s">
        <v>41</v>
      </c>
      <c r="F4" s="35" t="s">
        <v>42</v>
      </c>
      <c r="G4" s="34" t="s">
        <v>78</v>
      </c>
      <c r="H4" s="1"/>
      <c r="I4" s="34" t="s">
        <v>40</v>
      </c>
      <c r="J4" s="34" t="s">
        <v>39</v>
      </c>
      <c r="K4" s="34" t="s">
        <v>41</v>
      </c>
      <c r="L4" s="35" t="s">
        <v>42</v>
      </c>
      <c r="M4" s="34" t="s">
        <v>78</v>
      </c>
      <c r="N4" s="27"/>
    </row>
    <row r="5" spans="1:14" s="3" customFormat="1" ht="16" customHeight="1" x14ac:dyDescent="0.25">
      <c r="A5" s="111"/>
      <c r="B5" s="50" t="s">
        <v>8</v>
      </c>
      <c r="C5" s="61"/>
      <c r="D5" s="61"/>
      <c r="E5" s="61"/>
      <c r="F5" s="62"/>
      <c r="G5" s="61"/>
      <c r="I5" s="61"/>
      <c r="J5" s="61"/>
      <c r="K5" s="61"/>
      <c r="L5" s="62"/>
      <c r="M5" s="61"/>
      <c r="N5" s="53"/>
    </row>
    <row r="6" spans="1:14" s="3" customFormat="1" ht="16" customHeight="1" x14ac:dyDescent="0.25">
      <c r="A6" s="111"/>
      <c r="B6" s="50" t="s">
        <v>123</v>
      </c>
      <c r="C6" s="61"/>
      <c r="D6" s="61"/>
      <c r="E6" s="61"/>
      <c r="F6" s="62"/>
      <c r="G6" s="61"/>
      <c r="I6" s="61"/>
      <c r="J6" s="61"/>
      <c r="K6" s="61"/>
      <c r="L6" s="62"/>
      <c r="M6" s="61"/>
      <c r="N6" s="53"/>
    </row>
    <row r="7" spans="1:14" ht="16" customHeight="1" x14ac:dyDescent="0.25">
      <c r="A7" s="107" t="s">
        <v>247</v>
      </c>
      <c r="B7" s="14" t="s">
        <v>119</v>
      </c>
      <c r="C7" s="28">
        <v>31407.928</v>
      </c>
      <c r="D7" s="28">
        <v>39259.909999999996</v>
      </c>
      <c r="E7" s="28">
        <v>7851.9819999999963</v>
      </c>
      <c r="F7" s="29">
        <v>0.24999999999999989</v>
      </c>
      <c r="G7" s="28">
        <v>27481.936999999994</v>
      </c>
      <c r="I7" s="28">
        <v>31407.928</v>
      </c>
      <c r="J7" s="28">
        <v>39259.909999999996</v>
      </c>
      <c r="K7" s="28">
        <v>7851.9819999999963</v>
      </c>
      <c r="L7" s="29">
        <v>0.24999999999999989</v>
      </c>
      <c r="M7" s="28">
        <v>27481.936999999994</v>
      </c>
    </row>
    <row r="8" spans="1:14" ht="16" customHeight="1" x14ac:dyDescent="0.25">
      <c r="A8" s="107" t="s">
        <v>248</v>
      </c>
      <c r="B8" s="14" t="s">
        <v>120</v>
      </c>
      <c r="C8" s="28">
        <v>37163.887999999999</v>
      </c>
      <c r="D8" s="28">
        <v>46454.86</v>
      </c>
      <c r="E8" s="28">
        <v>9290.9720000000016</v>
      </c>
      <c r="F8" s="29">
        <v>0.25000000000000006</v>
      </c>
      <c r="G8" s="28">
        <v>32518.401999999995</v>
      </c>
      <c r="I8" s="28">
        <v>37163.887999999999</v>
      </c>
      <c r="J8" s="28">
        <v>46454.86</v>
      </c>
      <c r="K8" s="28">
        <v>9290.9720000000016</v>
      </c>
      <c r="L8" s="29">
        <v>0.25000000000000006</v>
      </c>
      <c r="M8" s="28">
        <v>32518.401999999995</v>
      </c>
    </row>
    <row r="9" spans="1:14" ht="16" customHeight="1" x14ac:dyDescent="0.25">
      <c r="A9" s="107" t="s">
        <v>249</v>
      </c>
      <c r="B9" s="14" t="s">
        <v>121</v>
      </c>
      <c r="C9" s="28">
        <v>16922.808000000001</v>
      </c>
      <c r="D9" s="28">
        <v>21153.510000000002</v>
      </c>
      <c r="E9" s="28">
        <v>4230.7020000000011</v>
      </c>
      <c r="F9" s="29">
        <v>0.25000000000000006</v>
      </c>
      <c r="G9" s="28">
        <v>14807.456999999999</v>
      </c>
      <c r="I9" s="28">
        <v>16922.808000000001</v>
      </c>
      <c r="J9" s="28">
        <v>21153.510000000002</v>
      </c>
      <c r="K9" s="28">
        <v>4230.7020000000011</v>
      </c>
      <c r="L9" s="29">
        <v>0.25000000000000006</v>
      </c>
      <c r="M9" s="28">
        <v>14807.456999999999</v>
      </c>
    </row>
    <row r="10" spans="1:14" ht="16" customHeight="1" x14ac:dyDescent="0.25">
      <c r="A10" s="107" t="s">
        <v>250</v>
      </c>
      <c r="B10" s="14" t="s">
        <v>122</v>
      </c>
      <c r="C10" s="28">
        <v>22896.544000000002</v>
      </c>
      <c r="D10" s="28">
        <v>28620.68</v>
      </c>
      <c r="E10" s="28">
        <v>5724.1359999999986</v>
      </c>
      <c r="F10" s="29">
        <v>0.24999999999999992</v>
      </c>
      <c r="G10" s="28">
        <v>20034.476000000002</v>
      </c>
      <c r="I10" s="28">
        <v>22896.544000000002</v>
      </c>
      <c r="J10" s="28">
        <v>28620.68</v>
      </c>
      <c r="K10" s="28">
        <v>5724.1359999999986</v>
      </c>
      <c r="L10" s="29">
        <v>0.24999999999999992</v>
      </c>
      <c r="M10" s="28">
        <v>20034.476000000002</v>
      </c>
    </row>
    <row r="11" spans="1:14" ht="16" customHeight="1" x14ac:dyDescent="0.25">
      <c r="A11" s="107" t="s">
        <v>251</v>
      </c>
      <c r="B11" s="14" t="s">
        <v>9</v>
      </c>
      <c r="C11" s="28">
        <v>3844.6800000000003</v>
      </c>
      <c r="D11" s="28">
        <v>4805.8500000000004</v>
      </c>
      <c r="E11" s="28">
        <v>961.17000000000007</v>
      </c>
      <c r="F11" s="29">
        <v>0.25</v>
      </c>
      <c r="G11" s="28">
        <v>3364.0950000000003</v>
      </c>
      <c r="I11" s="28">
        <v>3844.6800000000003</v>
      </c>
      <c r="J11" s="28">
        <v>4805.8500000000004</v>
      </c>
      <c r="K11" s="28">
        <v>961.17000000000007</v>
      </c>
      <c r="L11" s="29">
        <v>0.25</v>
      </c>
      <c r="M11" s="28">
        <v>3364.0950000000003</v>
      </c>
    </row>
    <row r="12" spans="1:14" ht="16" customHeight="1" thickBot="1" x14ac:dyDescent="0.3">
      <c r="B12" s="24" t="s">
        <v>352</v>
      </c>
      <c r="C12" s="74">
        <v>112235.848</v>
      </c>
      <c r="D12" s="74">
        <v>140294.81</v>
      </c>
      <c r="E12" s="74">
        <v>28058.962</v>
      </c>
      <c r="F12" s="75">
        <v>0.25</v>
      </c>
      <c r="G12" s="74">
        <v>98206.366999999998</v>
      </c>
      <c r="I12" s="74">
        <v>112235.848</v>
      </c>
      <c r="J12" s="74">
        <v>140294.81</v>
      </c>
      <c r="K12" s="74">
        <v>28058.962</v>
      </c>
      <c r="L12" s="75">
        <v>0.25</v>
      </c>
      <c r="M12" s="74">
        <v>98206.366999999998</v>
      </c>
    </row>
    <row r="13" spans="1:14" s="3" customFormat="1" ht="16" customHeight="1" x14ac:dyDescent="0.25">
      <c r="A13" s="111"/>
      <c r="B13" s="50" t="s">
        <v>124</v>
      </c>
      <c r="C13" s="61"/>
      <c r="D13" s="61"/>
      <c r="E13" s="61"/>
      <c r="F13" s="62"/>
      <c r="G13" s="61"/>
      <c r="I13" s="61"/>
      <c r="J13" s="61"/>
      <c r="K13" s="61"/>
      <c r="L13" s="62"/>
      <c r="M13" s="61"/>
      <c r="N13" s="53"/>
    </row>
    <row r="14" spans="1:14" ht="16" customHeight="1" x14ac:dyDescent="0.25">
      <c r="A14" s="107" t="s">
        <v>257</v>
      </c>
      <c r="B14" s="14" t="s">
        <v>71</v>
      </c>
      <c r="C14" s="28">
        <v>8051.9120000000003</v>
      </c>
      <c r="D14" s="28">
        <v>10064.89</v>
      </c>
      <c r="E14" s="28">
        <v>2012.9779999999992</v>
      </c>
      <c r="F14" s="29">
        <v>0.24999999999999989</v>
      </c>
      <c r="G14" s="28">
        <v>7045.4229999999989</v>
      </c>
      <c r="I14" s="28">
        <v>8051.9120000000003</v>
      </c>
      <c r="J14" s="28">
        <v>10064.89</v>
      </c>
      <c r="K14" s="28">
        <v>2012.9779999999992</v>
      </c>
      <c r="L14" s="29">
        <v>0.24999999999999989</v>
      </c>
      <c r="M14" s="28">
        <v>7045.4229999999989</v>
      </c>
    </row>
    <row r="15" spans="1:14" ht="16" customHeight="1" x14ac:dyDescent="0.25">
      <c r="A15" s="107" t="s">
        <v>255</v>
      </c>
      <c r="B15" s="14" t="s">
        <v>26</v>
      </c>
      <c r="C15" s="28">
        <v>6284.8879999999999</v>
      </c>
      <c r="D15" s="28">
        <v>7856.11</v>
      </c>
      <c r="E15" s="28">
        <v>1571.2219999999998</v>
      </c>
      <c r="F15" s="29">
        <v>0.24999999999999997</v>
      </c>
      <c r="G15" s="28">
        <v>5499.2769999999991</v>
      </c>
      <c r="I15" s="28">
        <v>6284.8879999999999</v>
      </c>
      <c r="J15" s="28">
        <v>7856.11</v>
      </c>
      <c r="K15" s="28">
        <v>1571.2219999999998</v>
      </c>
      <c r="L15" s="29">
        <v>0.24999999999999997</v>
      </c>
      <c r="M15" s="28">
        <v>5499.2769999999991</v>
      </c>
    </row>
    <row r="16" spans="1:14" ht="16" customHeight="1" x14ac:dyDescent="0.25">
      <c r="A16" s="107" t="s">
        <v>252</v>
      </c>
      <c r="B16" s="14" t="s">
        <v>143</v>
      </c>
      <c r="C16" s="28">
        <v>20670.848000000002</v>
      </c>
      <c r="D16" s="28">
        <v>25838.560000000001</v>
      </c>
      <c r="E16" s="28">
        <v>5167.7119999999995</v>
      </c>
      <c r="F16" s="29">
        <v>0.24999999999999994</v>
      </c>
      <c r="G16" s="28">
        <v>18086.991999999998</v>
      </c>
      <c r="I16" s="28">
        <v>20670.848000000002</v>
      </c>
      <c r="J16" s="28">
        <v>25838.560000000001</v>
      </c>
      <c r="K16" s="28">
        <v>5167.7119999999995</v>
      </c>
      <c r="L16" s="29">
        <v>0.24999999999999994</v>
      </c>
      <c r="M16" s="28">
        <v>18086.991999999998</v>
      </c>
    </row>
    <row r="17" spans="1:14" ht="16" customHeight="1" x14ac:dyDescent="0.25">
      <c r="A17" s="107" t="s">
        <v>256</v>
      </c>
      <c r="B17" s="14" t="s">
        <v>158</v>
      </c>
      <c r="C17" s="28">
        <v>16912.335999999999</v>
      </c>
      <c r="D17" s="28">
        <v>21140.42</v>
      </c>
      <c r="E17" s="28">
        <v>4228.0839999999989</v>
      </c>
      <c r="F17" s="29">
        <v>0.24999999999999994</v>
      </c>
      <c r="G17" s="28">
        <v>14798.293999999998</v>
      </c>
      <c r="I17" s="28">
        <v>16912.335999999999</v>
      </c>
      <c r="J17" s="28">
        <v>21140.42</v>
      </c>
      <c r="K17" s="28">
        <v>4228.0839999999989</v>
      </c>
      <c r="L17" s="29">
        <v>0.24999999999999994</v>
      </c>
      <c r="M17" s="28">
        <v>14798.293999999998</v>
      </c>
    </row>
    <row r="18" spans="1:14" ht="16" customHeight="1" x14ac:dyDescent="0.25">
      <c r="A18" s="107" t="s">
        <v>253</v>
      </c>
      <c r="B18" s="14" t="s">
        <v>144</v>
      </c>
      <c r="C18" s="28">
        <v>86990.983999999997</v>
      </c>
      <c r="D18" s="28">
        <v>108738.73000000001</v>
      </c>
      <c r="E18" s="28">
        <v>21747.746000000014</v>
      </c>
      <c r="F18" s="29">
        <v>0.25000000000000017</v>
      </c>
      <c r="G18" s="28">
        <v>76117.11099999999</v>
      </c>
      <c r="I18" s="28">
        <v>86990.983999999997</v>
      </c>
      <c r="J18" s="28">
        <v>108738.73000000001</v>
      </c>
      <c r="K18" s="28">
        <v>21747.746000000014</v>
      </c>
      <c r="L18" s="29">
        <v>0.25000000000000017</v>
      </c>
      <c r="M18" s="28">
        <v>76117.11099999999</v>
      </c>
    </row>
    <row r="19" spans="1:14" ht="16" customHeight="1" x14ac:dyDescent="0.25">
      <c r="A19" s="107" t="s">
        <v>254</v>
      </c>
      <c r="B19" s="14" t="s">
        <v>153</v>
      </c>
      <c r="C19" s="28">
        <v>15631.560000000001</v>
      </c>
      <c r="D19" s="28">
        <v>19539.45</v>
      </c>
      <c r="E19" s="28">
        <v>3907.8899999999994</v>
      </c>
      <c r="F19" s="29">
        <v>0.24999999999999994</v>
      </c>
      <c r="G19" s="28">
        <v>13677.615</v>
      </c>
      <c r="I19" s="28">
        <v>15631.560000000001</v>
      </c>
      <c r="J19" s="28">
        <v>19539.45</v>
      </c>
      <c r="K19" s="28">
        <v>3907.8899999999994</v>
      </c>
      <c r="L19" s="29">
        <v>0.24999999999999994</v>
      </c>
      <c r="M19" s="28">
        <v>13677.615</v>
      </c>
    </row>
    <row r="20" spans="1:14" ht="16" customHeight="1" thickBot="1" x14ac:dyDescent="0.3">
      <c r="B20" s="24" t="s">
        <v>353</v>
      </c>
      <c r="C20" s="74">
        <v>154542.52799999999</v>
      </c>
      <c r="D20" s="74">
        <v>193178.16000000003</v>
      </c>
      <c r="E20" s="74">
        <v>38635.632000000012</v>
      </c>
      <c r="F20" s="75">
        <v>0.25000000000000011</v>
      </c>
      <c r="G20" s="74">
        <v>135224.71199999997</v>
      </c>
      <c r="I20" s="74">
        <v>154542.52799999999</v>
      </c>
      <c r="J20" s="74">
        <v>193178.16000000003</v>
      </c>
      <c r="K20" s="74">
        <v>38635.632000000012</v>
      </c>
      <c r="L20" s="75">
        <v>0.25000000000000011</v>
      </c>
      <c r="M20" s="74">
        <v>135224.71199999997</v>
      </c>
    </row>
    <row r="21" spans="1:14" s="3" customFormat="1" ht="16" customHeight="1" thickBot="1" x14ac:dyDescent="0.3">
      <c r="A21" s="111"/>
      <c r="B21" s="50" t="s">
        <v>125</v>
      </c>
      <c r="C21" s="51">
        <v>266778.37599999999</v>
      </c>
      <c r="D21" s="51">
        <v>333472.97000000003</v>
      </c>
      <c r="E21" s="51">
        <v>66694.594000000012</v>
      </c>
      <c r="F21" s="52">
        <v>0.25000000000000006</v>
      </c>
      <c r="G21" s="51">
        <v>233431.07899999997</v>
      </c>
      <c r="I21" s="51">
        <v>266778.37599999999</v>
      </c>
      <c r="J21" s="51">
        <v>333472.97000000003</v>
      </c>
      <c r="K21" s="51">
        <v>66694.594000000012</v>
      </c>
      <c r="L21" s="52">
        <v>0.25000000000000006</v>
      </c>
      <c r="M21" s="51">
        <v>233431.07899999997</v>
      </c>
      <c r="N21" s="53"/>
    </row>
    <row r="22" spans="1:14" s="3" customFormat="1" ht="16" customHeight="1" thickTop="1" x14ac:dyDescent="0.25">
      <c r="A22" s="111"/>
      <c r="B22" s="50" t="s">
        <v>10</v>
      </c>
      <c r="C22" s="61"/>
      <c r="D22" s="61"/>
      <c r="E22" s="61"/>
      <c r="F22" s="62"/>
      <c r="G22" s="61"/>
      <c r="I22" s="61"/>
      <c r="J22" s="61"/>
      <c r="K22" s="61"/>
      <c r="L22" s="62"/>
      <c r="M22" s="61"/>
      <c r="N22" s="53"/>
    </row>
    <row r="23" spans="1:14" s="3" customFormat="1" ht="16" customHeight="1" x14ac:dyDescent="0.25">
      <c r="A23" s="111"/>
      <c r="B23" s="50" t="s">
        <v>11</v>
      </c>
      <c r="C23" s="61"/>
      <c r="D23" s="61"/>
      <c r="E23" s="61"/>
      <c r="F23" s="62"/>
      <c r="G23" s="61"/>
      <c r="I23" s="61"/>
      <c r="J23" s="61"/>
      <c r="K23" s="61"/>
      <c r="L23" s="62"/>
      <c r="M23" s="61"/>
      <c r="N23" s="53"/>
    </row>
    <row r="24" spans="1:14" ht="16" customHeight="1" x14ac:dyDescent="0.25">
      <c r="A24" s="107" t="s">
        <v>267</v>
      </c>
      <c r="B24" s="14" t="s">
        <v>182</v>
      </c>
      <c r="C24" s="28">
        <v>-3174.6480000000001</v>
      </c>
      <c r="D24" s="28">
        <v>-3968.31</v>
      </c>
      <c r="E24" s="28">
        <v>-793.66199999999981</v>
      </c>
      <c r="F24" s="29">
        <v>-0.24999999999999992</v>
      </c>
      <c r="G24" s="28">
        <v>-2777.817</v>
      </c>
      <c r="I24" s="28">
        <v>-3174.6480000000001</v>
      </c>
      <c r="J24" s="28">
        <v>-3968.31</v>
      </c>
      <c r="K24" s="28">
        <v>-793.66199999999981</v>
      </c>
      <c r="L24" s="29">
        <v>-0.24999999999999992</v>
      </c>
      <c r="M24" s="28">
        <v>-2777.817</v>
      </c>
    </row>
    <row r="25" spans="1:14" ht="16" customHeight="1" x14ac:dyDescent="0.25">
      <c r="A25" s="107" t="s">
        <v>266</v>
      </c>
      <c r="B25" s="14" t="s">
        <v>47</v>
      </c>
      <c r="C25" s="28">
        <v>-4454.768</v>
      </c>
      <c r="D25" s="28">
        <v>-5568.46</v>
      </c>
      <c r="E25" s="28">
        <v>-1113.692</v>
      </c>
      <c r="F25" s="29">
        <v>-0.25</v>
      </c>
      <c r="G25" s="28">
        <v>-3897.9219999999996</v>
      </c>
      <c r="I25" s="28">
        <v>-4454.768</v>
      </c>
      <c r="J25" s="28">
        <v>-5568.46</v>
      </c>
      <c r="K25" s="28">
        <v>-1113.692</v>
      </c>
      <c r="L25" s="29">
        <v>-0.25</v>
      </c>
      <c r="M25" s="28">
        <v>-3897.9219999999996</v>
      </c>
    </row>
    <row r="26" spans="1:14" ht="16" customHeight="1" x14ac:dyDescent="0.25">
      <c r="A26" s="107" t="s">
        <v>268</v>
      </c>
      <c r="B26" s="14" t="s">
        <v>12</v>
      </c>
      <c r="C26" s="28">
        <v>447480.76800000004</v>
      </c>
      <c r="D26" s="28">
        <v>559350.9600000002</v>
      </c>
      <c r="E26" s="28">
        <v>111870.19200000016</v>
      </c>
      <c r="F26" s="29">
        <v>0.25000000000000033</v>
      </c>
      <c r="G26" s="28">
        <v>391545.67200000002</v>
      </c>
      <c r="I26" s="28">
        <v>447480.76800000021</v>
      </c>
      <c r="J26" s="28">
        <v>559350.96000000008</v>
      </c>
      <c r="K26" s="28">
        <v>111870.19199999986</v>
      </c>
      <c r="L26" s="29">
        <v>0.24999999999999958</v>
      </c>
      <c r="M26" s="28">
        <v>391545.67200000014</v>
      </c>
    </row>
    <row r="27" spans="1:14" ht="16" customHeight="1" thickBot="1" x14ac:dyDescent="0.3">
      <c r="B27" s="24" t="s">
        <v>354</v>
      </c>
      <c r="C27" s="74">
        <v>439851.35200000001</v>
      </c>
      <c r="D27" s="74">
        <v>549814.19000000018</v>
      </c>
      <c r="E27" s="74">
        <v>109962.83800000015</v>
      </c>
      <c r="F27" s="75">
        <v>0.25000000000000033</v>
      </c>
      <c r="G27" s="74">
        <v>384869.93300000002</v>
      </c>
      <c r="I27" s="74">
        <v>439851.35200000019</v>
      </c>
      <c r="J27" s="74">
        <v>549814.19000000006</v>
      </c>
      <c r="K27" s="74">
        <v>109962.83799999986</v>
      </c>
      <c r="L27" s="75">
        <v>0.24999999999999958</v>
      </c>
      <c r="M27" s="74">
        <v>384869.93300000014</v>
      </c>
    </row>
    <row r="28" spans="1:14" s="3" customFormat="1" ht="16" customHeight="1" x14ac:dyDescent="0.25">
      <c r="A28" s="111"/>
      <c r="B28" s="50" t="s">
        <v>126</v>
      </c>
      <c r="C28" s="61"/>
      <c r="D28" s="61"/>
      <c r="E28" s="61"/>
      <c r="F28" s="62"/>
      <c r="G28" s="61"/>
      <c r="I28" s="61"/>
      <c r="J28" s="61"/>
      <c r="K28" s="61"/>
      <c r="L28" s="62"/>
      <c r="M28" s="61"/>
      <c r="N28" s="53"/>
    </row>
    <row r="29" spans="1:14" ht="16" customHeight="1" x14ac:dyDescent="0.25">
      <c r="A29" s="107" t="s">
        <v>265</v>
      </c>
      <c r="B29" s="14" t="s">
        <v>27</v>
      </c>
      <c r="C29" s="28">
        <v>-23155.624</v>
      </c>
      <c r="D29" s="28">
        <v>-28944.53</v>
      </c>
      <c r="E29" s="28">
        <v>-5788.905999999999</v>
      </c>
      <c r="F29" s="29">
        <v>-0.24999999999999997</v>
      </c>
      <c r="G29" s="28">
        <v>-20261.170999999998</v>
      </c>
      <c r="I29" s="28">
        <v>-23155.624</v>
      </c>
      <c r="J29" s="28">
        <v>-28944.53</v>
      </c>
      <c r="K29" s="28">
        <v>-5788.905999999999</v>
      </c>
      <c r="L29" s="29">
        <v>-0.24999999999999997</v>
      </c>
      <c r="M29" s="28">
        <v>-20261.170999999998</v>
      </c>
    </row>
    <row r="30" spans="1:14" ht="16" customHeight="1" thickBot="1" x14ac:dyDescent="0.3">
      <c r="B30" s="24" t="s">
        <v>355</v>
      </c>
      <c r="C30" s="74">
        <v>-23155.624</v>
      </c>
      <c r="D30" s="74">
        <v>-28944.53</v>
      </c>
      <c r="E30" s="74">
        <v>-5788.905999999999</v>
      </c>
      <c r="F30" s="75">
        <v>-0.24999999999999997</v>
      </c>
      <c r="G30" s="74">
        <v>-20261.170999999998</v>
      </c>
      <c r="I30" s="74">
        <v>-23155.624</v>
      </c>
      <c r="J30" s="74">
        <v>-28944.53</v>
      </c>
      <c r="K30" s="74">
        <v>-5788.905999999999</v>
      </c>
      <c r="L30" s="75">
        <v>-0.24999999999999997</v>
      </c>
      <c r="M30" s="74">
        <v>-20261.170999999998</v>
      </c>
    </row>
    <row r="31" spans="1:14" s="3" customFormat="1" ht="16" customHeight="1" x14ac:dyDescent="0.25">
      <c r="A31" s="111"/>
      <c r="B31" s="50" t="s">
        <v>127</v>
      </c>
      <c r="C31" s="61"/>
      <c r="D31" s="61"/>
      <c r="E31" s="61"/>
      <c r="F31" s="62"/>
      <c r="G31" s="61"/>
      <c r="I31" s="61"/>
      <c r="J31" s="61"/>
      <c r="K31" s="61"/>
      <c r="L31" s="62"/>
      <c r="M31" s="61"/>
      <c r="N31" s="53"/>
    </row>
    <row r="32" spans="1:14" ht="16" customHeight="1" x14ac:dyDescent="0.25">
      <c r="A32" s="107" t="s">
        <v>258</v>
      </c>
      <c r="B32" s="14" t="s">
        <v>162</v>
      </c>
      <c r="C32" s="28">
        <v>0</v>
      </c>
      <c r="D32" s="28">
        <v>0</v>
      </c>
      <c r="E32" s="28">
        <v>0</v>
      </c>
      <c r="F32" s="29">
        <v>0</v>
      </c>
      <c r="G32" s="28">
        <v>0</v>
      </c>
      <c r="I32" s="28">
        <v>0</v>
      </c>
      <c r="J32" s="28">
        <v>0</v>
      </c>
      <c r="K32" s="28">
        <v>0</v>
      </c>
      <c r="L32" s="29">
        <v>0</v>
      </c>
      <c r="M32" s="28">
        <v>0</v>
      </c>
    </row>
    <row r="33" spans="1:14" ht="16" customHeight="1" x14ac:dyDescent="0.25">
      <c r="A33" s="107" t="s">
        <v>259</v>
      </c>
      <c r="B33" s="14" t="s">
        <v>29</v>
      </c>
      <c r="C33" s="28">
        <v>-23787.688000000002</v>
      </c>
      <c r="D33" s="28">
        <v>-29734.61</v>
      </c>
      <c r="E33" s="28">
        <v>-5946.9219999999987</v>
      </c>
      <c r="F33" s="29">
        <v>-0.24999999999999992</v>
      </c>
      <c r="G33" s="28">
        <v>-20814.226999999999</v>
      </c>
      <c r="I33" s="28">
        <v>-23787.688000000002</v>
      </c>
      <c r="J33" s="28">
        <v>-29734.61</v>
      </c>
      <c r="K33" s="28">
        <v>-5946.9219999999987</v>
      </c>
      <c r="L33" s="29">
        <v>-0.24999999999999992</v>
      </c>
      <c r="M33" s="28">
        <v>-20814.226999999999</v>
      </c>
    </row>
    <row r="34" spans="1:14" ht="16" customHeight="1" x14ac:dyDescent="0.25">
      <c r="A34" s="107" t="s">
        <v>260</v>
      </c>
      <c r="B34" s="14" t="s">
        <v>165</v>
      </c>
      <c r="C34" s="28">
        <v>-59933.240000000005</v>
      </c>
      <c r="D34" s="28">
        <v>-74916.55</v>
      </c>
      <c r="E34" s="28">
        <v>-14983.309999999998</v>
      </c>
      <c r="F34" s="29">
        <v>-0.24999999999999994</v>
      </c>
      <c r="G34" s="28">
        <v>-52441.584999999999</v>
      </c>
      <c r="I34" s="28">
        <v>-59933.240000000005</v>
      </c>
      <c r="J34" s="28">
        <v>-74916.55</v>
      </c>
      <c r="K34" s="28">
        <v>-14983.309999999998</v>
      </c>
      <c r="L34" s="29">
        <v>-0.24999999999999994</v>
      </c>
      <c r="M34" s="28">
        <v>-52441.584999999999</v>
      </c>
    </row>
    <row r="35" spans="1:14" ht="16" customHeight="1" x14ac:dyDescent="0.25">
      <c r="A35" s="107" t="s">
        <v>264</v>
      </c>
      <c r="B35" s="14" t="s">
        <v>177</v>
      </c>
      <c r="C35" s="28">
        <v>-43763.840000000004</v>
      </c>
      <c r="D35" s="28">
        <v>-54704.800000000003</v>
      </c>
      <c r="E35" s="28">
        <v>-10940.96</v>
      </c>
      <c r="F35" s="29">
        <v>-0.24999999999999997</v>
      </c>
      <c r="G35" s="28">
        <v>-38293.360000000001</v>
      </c>
      <c r="I35" s="28">
        <v>-43763.840000000004</v>
      </c>
      <c r="J35" s="28">
        <v>-54704.800000000003</v>
      </c>
      <c r="K35" s="28">
        <v>-10940.96</v>
      </c>
      <c r="L35" s="29">
        <v>-0.24999999999999997</v>
      </c>
      <c r="M35" s="28">
        <v>-38293.360000000001</v>
      </c>
    </row>
    <row r="36" spans="1:14" ht="16" customHeight="1" x14ac:dyDescent="0.25">
      <c r="A36" s="107" t="s">
        <v>263</v>
      </c>
      <c r="B36" s="14" t="s">
        <v>173</v>
      </c>
      <c r="C36" s="28">
        <v>-6263.7280000000001</v>
      </c>
      <c r="D36" s="28">
        <v>-7829.66</v>
      </c>
      <c r="E36" s="28">
        <v>-1565.9319999999998</v>
      </c>
      <c r="F36" s="29">
        <v>-0.24999999999999997</v>
      </c>
      <c r="G36" s="28">
        <v>-5480.7619999999997</v>
      </c>
      <c r="I36" s="28">
        <v>-6263.7280000000001</v>
      </c>
      <c r="J36" s="28">
        <v>-7829.66</v>
      </c>
      <c r="K36" s="28">
        <v>-1565.9319999999998</v>
      </c>
      <c r="L36" s="29">
        <v>-0.24999999999999997</v>
      </c>
      <c r="M36" s="28">
        <v>-5480.7619999999997</v>
      </c>
    </row>
    <row r="37" spans="1:14" ht="16" customHeight="1" x14ac:dyDescent="0.25">
      <c r="A37" s="107" t="s">
        <v>261</v>
      </c>
      <c r="B37" s="14" t="s">
        <v>83</v>
      </c>
      <c r="C37" s="28">
        <v>-9333.9520000000011</v>
      </c>
      <c r="D37" s="28">
        <v>-11667.44</v>
      </c>
      <c r="E37" s="28">
        <v>-2333.4879999999994</v>
      </c>
      <c r="F37" s="29">
        <v>-0.24999999999999989</v>
      </c>
      <c r="G37" s="28">
        <v>-8167.2079999999996</v>
      </c>
      <c r="I37" s="28">
        <v>-9333.9520000000011</v>
      </c>
      <c r="J37" s="28">
        <v>-11667.44</v>
      </c>
      <c r="K37" s="28">
        <v>-2333.4879999999994</v>
      </c>
      <c r="L37" s="29">
        <v>-0.24999999999999989</v>
      </c>
      <c r="M37" s="28">
        <v>-8167.2079999999996</v>
      </c>
    </row>
    <row r="38" spans="1:14" ht="16" customHeight="1" x14ac:dyDescent="0.25">
      <c r="A38" s="107" t="s">
        <v>262</v>
      </c>
      <c r="B38" s="14" t="s">
        <v>84</v>
      </c>
      <c r="C38" s="28">
        <v>-6834.9039999999995</v>
      </c>
      <c r="D38" s="28">
        <v>-8543.6299999999992</v>
      </c>
      <c r="E38" s="28">
        <v>-1708.7259999999997</v>
      </c>
      <c r="F38" s="29">
        <v>-0.24999999999999997</v>
      </c>
      <c r="G38" s="28">
        <v>-5980.5409999999993</v>
      </c>
      <c r="I38" s="28">
        <v>-6834.9039999999995</v>
      </c>
      <c r="J38" s="28">
        <v>-8543.6299999999992</v>
      </c>
      <c r="K38" s="28">
        <v>-1708.7259999999997</v>
      </c>
      <c r="L38" s="29">
        <v>-0.24999999999999997</v>
      </c>
      <c r="M38" s="28">
        <v>-5980.5409999999993</v>
      </c>
    </row>
    <row r="39" spans="1:14" ht="16" customHeight="1" x14ac:dyDescent="0.25">
      <c r="B39" s="24" t="s">
        <v>356</v>
      </c>
      <c r="C39" s="38">
        <v>-149917.35200000001</v>
      </c>
      <c r="D39" s="38">
        <v>-187396.69000000003</v>
      </c>
      <c r="E39" s="38">
        <v>-37479.337999999996</v>
      </c>
      <c r="F39" s="39">
        <v>-0.24999999999999994</v>
      </c>
      <c r="G39" s="38">
        <v>-131177.68300000002</v>
      </c>
      <c r="I39" s="38">
        <v>-149917.35200000001</v>
      </c>
      <c r="J39" s="38">
        <v>-187396.69000000003</v>
      </c>
      <c r="K39" s="38">
        <v>-37479.337999999996</v>
      </c>
      <c r="L39" s="39">
        <v>-0.24999999999999994</v>
      </c>
      <c r="M39" s="38">
        <v>-131177.68300000002</v>
      </c>
    </row>
    <row r="40" spans="1:14" s="3" customFormat="1" ht="16" customHeight="1" thickBot="1" x14ac:dyDescent="0.3">
      <c r="A40" s="111"/>
      <c r="B40" s="50" t="s">
        <v>128</v>
      </c>
      <c r="C40" s="76">
        <v>-173072.97600000002</v>
      </c>
      <c r="D40" s="76">
        <v>-216341.22000000003</v>
      </c>
      <c r="E40" s="76">
        <v>-43268.243999999992</v>
      </c>
      <c r="F40" s="77">
        <v>-0.24999999999999992</v>
      </c>
      <c r="G40" s="76">
        <v>-151438.85400000002</v>
      </c>
      <c r="I40" s="76">
        <v>-173072.97600000002</v>
      </c>
      <c r="J40" s="76">
        <v>-216341.22000000003</v>
      </c>
      <c r="K40" s="76">
        <v>-43268.243999999992</v>
      </c>
      <c r="L40" s="77">
        <v>-0.24999999999999992</v>
      </c>
      <c r="M40" s="76">
        <v>-151438.85400000002</v>
      </c>
      <c r="N40" s="53"/>
    </row>
    <row r="41" spans="1:14" s="3" customFormat="1" ht="16" customHeight="1" thickBot="1" x14ac:dyDescent="0.3">
      <c r="A41" s="111"/>
      <c r="B41" s="50" t="s">
        <v>129</v>
      </c>
      <c r="C41" s="78">
        <v>266778.37599999999</v>
      </c>
      <c r="D41" s="78">
        <v>333472.97000000015</v>
      </c>
      <c r="E41" s="78">
        <v>66694.594000000157</v>
      </c>
      <c r="F41" s="79">
        <v>0.25000000000000061</v>
      </c>
      <c r="G41" s="78">
        <v>233431.079</v>
      </c>
      <c r="I41" s="78">
        <v>266778.37600000016</v>
      </c>
      <c r="J41" s="78">
        <v>333472.97000000003</v>
      </c>
      <c r="K41" s="78">
        <v>66694.593999999866</v>
      </c>
      <c r="L41" s="79">
        <v>0.24999999999999933</v>
      </c>
      <c r="M41" s="78">
        <v>233431.07900000011</v>
      </c>
      <c r="N41" s="53"/>
    </row>
    <row r="42" spans="1:14" s="3" customFormat="1" ht="16" customHeight="1" thickTop="1" x14ac:dyDescent="0.25">
      <c r="A42" s="111"/>
      <c r="B42" s="50"/>
      <c r="C42" s="118"/>
      <c r="D42" s="118"/>
      <c r="E42" s="118"/>
      <c r="F42" s="119"/>
      <c r="G42" s="118"/>
      <c r="I42" s="118"/>
      <c r="J42" s="118"/>
      <c r="K42" s="118"/>
      <c r="L42" s="119"/>
      <c r="M42" s="118"/>
      <c r="N42" s="53"/>
    </row>
    <row r="43" spans="1:14" s="121" customFormat="1" ht="16" customHeight="1" x14ac:dyDescent="0.25">
      <c r="A43" s="107"/>
      <c r="B43" s="120" t="s">
        <v>348</v>
      </c>
      <c r="C43" s="117"/>
      <c r="D43" s="117"/>
      <c r="E43" s="36"/>
      <c r="F43" s="37"/>
      <c r="G43" s="117"/>
      <c r="I43" s="117">
        <v>-1.0308515054348077</v>
      </c>
      <c r="J43" s="117">
        <v>-1.0308515054348077</v>
      </c>
      <c r="K43" s="122">
        <v>0</v>
      </c>
      <c r="L43" s="29">
        <v>0</v>
      </c>
      <c r="M43" s="117">
        <v>-1.0308515054348075</v>
      </c>
      <c r="N43" s="21"/>
    </row>
    <row r="44" spans="1:14" s="121" customFormat="1" ht="16" customHeight="1" x14ac:dyDescent="0.25">
      <c r="A44" s="107"/>
      <c r="B44" s="120" t="s">
        <v>349</v>
      </c>
      <c r="C44" s="117"/>
      <c r="D44" s="117"/>
      <c r="E44" s="36"/>
      <c r="F44" s="37"/>
      <c r="G44" s="117"/>
      <c r="I44" s="117">
        <v>-0.97714249915513429</v>
      </c>
      <c r="J44" s="117">
        <v>-0.9771424991551344</v>
      </c>
      <c r="K44" s="122">
        <v>0</v>
      </c>
      <c r="L44" s="29">
        <v>0</v>
      </c>
      <c r="M44" s="117">
        <v>-0.97714249915513418</v>
      </c>
      <c r="N44" s="21"/>
    </row>
    <row r="45" spans="1:14" s="121" customFormat="1" ht="16" customHeight="1" x14ac:dyDescent="0.25">
      <c r="A45" s="107"/>
      <c r="B45" s="120" t="s">
        <v>350</v>
      </c>
      <c r="C45" s="117"/>
      <c r="D45" s="117"/>
      <c r="E45" s="36"/>
      <c r="F45" s="37"/>
      <c r="G45" s="117"/>
      <c r="I45" s="117">
        <v>-0.39348060478395425</v>
      </c>
      <c r="J45" s="117">
        <v>-0.39348060478395441</v>
      </c>
      <c r="K45" s="122">
        <v>0</v>
      </c>
      <c r="L45" s="29">
        <v>0</v>
      </c>
      <c r="M45" s="117">
        <v>-0.3934806047839543</v>
      </c>
      <c r="N45" s="21"/>
    </row>
    <row r="46" spans="1:14" s="83" customFormat="1" ht="16" customHeight="1" x14ac:dyDescent="0.25">
      <c r="A46" s="113"/>
      <c r="B46" s="80"/>
      <c r="C46" s="81" t="s">
        <v>380</v>
      </c>
      <c r="D46" s="81" t="s">
        <v>380</v>
      </c>
      <c r="E46" s="81"/>
      <c r="F46" s="82"/>
      <c r="G46" s="81" t="s">
        <v>380</v>
      </c>
      <c r="I46" s="81" t="s">
        <v>380</v>
      </c>
      <c r="J46" s="81" t="s">
        <v>380</v>
      </c>
      <c r="K46" s="81"/>
      <c r="L46" s="82"/>
      <c r="M46" s="81" t="s">
        <v>380</v>
      </c>
      <c r="N46" s="84"/>
    </row>
    <row r="47" spans="1:14" s="89" customFormat="1" ht="16" customHeight="1" x14ac:dyDescent="0.25">
      <c r="A47" s="114"/>
      <c r="B47" s="85" t="s">
        <v>236</v>
      </c>
      <c r="C47" s="86" t="s">
        <v>381</v>
      </c>
      <c r="D47" s="86" t="s">
        <v>381</v>
      </c>
      <c r="E47" s="87"/>
      <c r="F47" s="88"/>
      <c r="G47" s="86" t="s">
        <v>381</v>
      </c>
      <c r="I47" s="86" t="s">
        <v>381</v>
      </c>
      <c r="J47" s="86" t="s">
        <v>381</v>
      </c>
      <c r="K47" s="87"/>
      <c r="L47" s="88"/>
      <c r="M47" s="86" t="s">
        <v>381</v>
      </c>
      <c r="N47" s="90"/>
    </row>
    <row r="48" spans="1:14" s="89" customFormat="1" ht="16" customHeight="1" x14ac:dyDescent="0.25">
      <c r="A48" s="114"/>
      <c r="B48" s="85" t="s">
        <v>293</v>
      </c>
      <c r="C48" s="86" t="s">
        <v>381</v>
      </c>
      <c r="D48" s="86" t="s">
        <v>381</v>
      </c>
      <c r="E48" s="87"/>
      <c r="F48" s="88"/>
      <c r="G48" s="86" t="s">
        <v>381</v>
      </c>
      <c r="I48" s="86" t="s">
        <v>381</v>
      </c>
      <c r="J48" s="86" t="s">
        <v>381</v>
      </c>
      <c r="K48" s="87"/>
      <c r="L48" s="88"/>
      <c r="M48" s="86" t="s">
        <v>381</v>
      </c>
      <c r="N48" s="90"/>
    </row>
    <row r="49" spans="1:14" s="83" customFormat="1" ht="16" customHeight="1" x14ac:dyDescent="0.25">
      <c r="A49" s="113"/>
      <c r="B49" s="80"/>
      <c r="C49" s="81" t="s">
        <v>380</v>
      </c>
      <c r="D49" s="81" t="s">
        <v>380</v>
      </c>
      <c r="E49" s="81"/>
      <c r="F49" s="82"/>
      <c r="G49" s="81" t="s">
        <v>380</v>
      </c>
      <c r="I49" s="81" t="s">
        <v>380</v>
      </c>
      <c r="J49" s="81" t="s">
        <v>380</v>
      </c>
      <c r="K49" s="81"/>
      <c r="L49" s="82"/>
      <c r="M49" s="81" t="s">
        <v>380</v>
      </c>
      <c r="N49" s="84"/>
    </row>
    <row r="50" spans="1:14" s="95" customFormat="1" ht="16" customHeight="1" x14ac:dyDescent="0.25">
      <c r="A50" s="115"/>
      <c r="B50" s="91" t="s">
        <v>380</v>
      </c>
      <c r="C50" s="92" t="s">
        <v>380</v>
      </c>
      <c r="D50" s="92" t="s">
        <v>380</v>
      </c>
      <c r="E50" s="93"/>
      <c r="F50" s="94"/>
      <c r="G50" s="92" t="s">
        <v>380</v>
      </c>
      <c r="I50" s="92" t="s">
        <v>380</v>
      </c>
      <c r="J50" s="92" t="s">
        <v>380</v>
      </c>
      <c r="K50" s="93"/>
      <c r="L50" s="94"/>
      <c r="M50" s="92" t="s">
        <v>380</v>
      </c>
      <c r="N50" s="96"/>
    </row>
  </sheetData>
  <sheetProtection algorithmName="SHA-512" hashValue="ssBbeZlGOtbizq1cfGRRDWzVvGsNw06M0MBpBjrSiA6jylXjF4ZuLtUyp2hMJHac2RVhKq/7jdWhVTs8YoTiwQ==" saltValue="2ddGqufUrIX1wdz9/qgiIQ==" spinCount="100000" sheet="1" objects="1" scenarios="1"/>
  <mergeCells count="2">
    <mergeCell ref="C3:G3"/>
    <mergeCell ref="I3:M3"/>
  </mergeCells>
  <conditionalFormatting sqref="C47:M48">
    <cfRule type="containsText" dxfId="9" priority="1" operator="containsText" text="error!">
      <formula>NOT(ISERROR(SEARCH("error!",C47)))</formula>
    </cfRule>
  </conditionalFormatting>
  <pageMargins left="0.55118110236220474" right="0.55118110236220474" top="0.55118110236220474" bottom="0.55118110236220474" header="0.39370078740157483" footer="0.39370078740157483"/>
  <pageSetup paperSize="9" scale="66" orientation="landscape" r:id="rId1"/>
  <headerFooter>
    <oddFooter>&amp;C&amp;9Page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N41"/>
  <sheetViews>
    <sheetView zoomScale="95" zoomScaleNormal="95" workbookViewId="0">
      <pane ySplit="4" topLeftCell="A5" activePane="bottomLeft" state="frozen"/>
      <selection activeCell="B4" sqref="B4"/>
      <selection pane="bottomLeft" activeCell="S14" sqref="S14"/>
    </sheetView>
  </sheetViews>
  <sheetFormatPr defaultColWidth="9.08984375" defaultRowHeight="16" customHeight="1" x14ac:dyDescent="0.25"/>
  <cols>
    <col min="1" max="1" width="8.6328125" style="107" customWidth="1"/>
    <col min="2" max="2" width="40.81640625" style="63" customWidth="1"/>
    <col min="3" max="5" width="12.6328125" style="28" customWidth="1"/>
    <col min="6" max="6" width="12.6328125" style="29" customWidth="1"/>
    <col min="7" max="7" width="12.6328125" style="28" customWidth="1"/>
    <col min="8" max="8" width="2.6328125" style="1" customWidth="1"/>
    <col min="9" max="11" width="12.6328125" style="28" customWidth="1"/>
    <col min="12" max="12" width="12.6328125" style="29" customWidth="1"/>
    <col min="13" max="13" width="12.6328125" style="28" customWidth="1"/>
    <col min="14" max="14" width="2.6328125" style="21" customWidth="1"/>
    <col min="15" max="16384" width="9.08984375" style="1"/>
  </cols>
  <sheetData>
    <row r="1" spans="1:14" ht="16" customHeight="1" x14ac:dyDescent="0.3">
      <c r="B1" s="106" t="s">
        <v>307</v>
      </c>
    </row>
    <row r="2" spans="1:14" s="32" customFormat="1" ht="16" customHeight="1" x14ac:dyDescent="0.25">
      <c r="A2" s="108"/>
      <c r="B2" s="54" t="s">
        <v>382</v>
      </c>
      <c r="C2" s="55"/>
      <c r="D2" s="55"/>
      <c r="E2" s="55"/>
      <c r="F2" s="56"/>
      <c r="G2" s="55"/>
      <c r="I2" s="55"/>
      <c r="J2" s="55"/>
      <c r="K2" s="55"/>
      <c r="L2" s="56"/>
      <c r="M2" s="55"/>
      <c r="N2" s="33"/>
    </row>
    <row r="3" spans="1:14" s="32" customFormat="1" ht="18" customHeight="1" x14ac:dyDescent="0.25">
      <c r="A3" s="108"/>
      <c r="B3" s="57" t="s">
        <v>36</v>
      </c>
      <c r="C3" s="291" t="s">
        <v>73</v>
      </c>
      <c r="D3" s="292"/>
      <c r="E3" s="292"/>
      <c r="F3" s="292"/>
      <c r="G3" s="293"/>
      <c r="I3" s="291" t="s">
        <v>72</v>
      </c>
      <c r="J3" s="292"/>
      <c r="K3" s="292"/>
      <c r="L3" s="292"/>
      <c r="M3" s="293"/>
      <c r="N3" s="33"/>
    </row>
    <row r="4" spans="1:14" s="20" customFormat="1" ht="18" customHeight="1" x14ac:dyDescent="0.25">
      <c r="A4" s="112"/>
      <c r="B4" s="58"/>
      <c r="C4" s="34" t="s">
        <v>40</v>
      </c>
      <c r="D4" s="34" t="s">
        <v>39</v>
      </c>
      <c r="E4" s="34" t="s">
        <v>41</v>
      </c>
      <c r="F4" s="35" t="s">
        <v>42</v>
      </c>
      <c r="G4" s="59" t="s">
        <v>78</v>
      </c>
      <c r="H4" s="1"/>
      <c r="I4" s="34" t="s">
        <v>40</v>
      </c>
      <c r="J4" s="34" t="s">
        <v>39</v>
      </c>
      <c r="K4" s="34" t="s">
        <v>41</v>
      </c>
      <c r="L4" s="35" t="s">
        <v>42</v>
      </c>
      <c r="M4" s="59" t="s">
        <v>78</v>
      </c>
      <c r="N4" s="27"/>
    </row>
    <row r="5" spans="1:14" s="3" customFormat="1" ht="16" customHeight="1" x14ac:dyDescent="0.25">
      <c r="A5" s="111"/>
      <c r="B5" s="60" t="s">
        <v>13</v>
      </c>
      <c r="C5" s="61"/>
      <c r="D5" s="61"/>
      <c r="E5" s="61"/>
      <c r="F5" s="62"/>
      <c r="G5" s="61"/>
      <c r="I5" s="61"/>
      <c r="J5" s="61"/>
      <c r="K5" s="61"/>
      <c r="L5" s="62"/>
      <c r="M5" s="61"/>
      <c r="N5" s="53"/>
    </row>
    <row r="6" spans="1:14" ht="16" customHeight="1" x14ac:dyDescent="0.25">
      <c r="B6" s="63" t="s">
        <v>75</v>
      </c>
      <c r="C6" s="36">
        <v>-16850.143999999964</v>
      </c>
      <c r="D6" s="36">
        <v>-21062.679999999997</v>
      </c>
      <c r="E6" s="36">
        <v>-4212.5360000000328</v>
      </c>
      <c r="F6" s="37">
        <v>-0.2500000000000025</v>
      </c>
      <c r="G6" s="36">
        <v>-14743.876000000004</v>
      </c>
      <c r="I6" s="28">
        <v>-524813.98399999994</v>
      </c>
      <c r="J6" s="28">
        <v>-656017.48</v>
      </c>
      <c r="K6" s="28">
        <v>-131203.49600000004</v>
      </c>
      <c r="L6" s="29">
        <v>-0.25000000000000011</v>
      </c>
      <c r="M6" s="28">
        <v>-459212.23599999992</v>
      </c>
    </row>
    <row r="7" spans="1:14" ht="16" customHeight="1" x14ac:dyDescent="0.25">
      <c r="B7" s="63" t="s">
        <v>23</v>
      </c>
      <c r="C7" s="36">
        <v>82.192000000000007</v>
      </c>
      <c r="D7" s="36">
        <v>102.73999999999978</v>
      </c>
      <c r="E7" s="36">
        <v>20.547999999999774</v>
      </c>
      <c r="F7" s="37">
        <v>0.24999999999999722</v>
      </c>
      <c r="G7" s="36">
        <v>71.917999999999665</v>
      </c>
      <c r="I7" s="28">
        <v>3993.752</v>
      </c>
      <c r="J7" s="28">
        <v>4992.1899999999996</v>
      </c>
      <c r="K7" s="28">
        <v>998.43799999999965</v>
      </c>
      <c r="L7" s="29">
        <v>0.24999999999999992</v>
      </c>
      <c r="M7" s="28">
        <v>3494.5329999999994</v>
      </c>
    </row>
    <row r="8" spans="1:14" ht="16" customHeight="1" x14ac:dyDescent="0.25">
      <c r="B8" s="63" t="s">
        <v>199</v>
      </c>
      <c r="C8" s="36">
        <v>261.67200000000048</v>
      </c>
      <c r="D8" s="36">
        <v>327.09000000000015</v>
      </c>
      <c r="E8" s="36">
        <v>65.417999999999665</v>
      </c>
      <c r="F8" s="37">
        <v>0.24999999999999825</v>
      </c>
      <c r="G8" s="36">
        <v>228.96299999999974</v>
      </c>
      <c r="I8" s="28">
        <v>10525.416000000001</v>
      </c>
      <c r="J8" s="28">
        <v>13156.77</v>
      </c>
      <c r="K8" s="28">
        <v>2631.3539999999994</v>
      </c>
      <c r="L8" s="29">
        <v>0.24999999999999992</v>
      </c>
      <c r="M8" s="28">
        <v>9209.7389999999996</v>
      </c>
    </row>
    <row r="9" spans="1:14" s="4" customFormat="1" ht="16" customHeight="1" x14ac:dyDescent="0.25">
      <c r="A9" s="116"/>
      <c r="B9" s="4" t="s">
        <v>291</v>
      </c>
      <c r="C9" s="64"/>
      <c r="D9" s="64"/>
      <c r="E9" s="64"/>
      <c r="F9" s="65"/>
      <c r="G9" s="64"/>
      <c r="I9" s="66"/>
      <c r="J9" s="66"/>
      <c r="K9" s="66"/>
      <c r="L9" s="67"/>
      <c r="M9" s="66"/>
      <c r="N9" s="68"/>
    </row>
    <row r="10" spans="1:14" ht="16" customHeight="1" x14ac:dyDescent="0.25">
      <c r="A10" s="107" t="s">
        <v>248</v>
      </c>
      <c r="B10" s="63" t="s">
        <v>66</v>
      </c>
      <c r="C10" s="36">
        <v>-718.0879999999961</v>
      </c>
      <c r="D10" s="36">
        <v>-897.61000000000058</v>
      </c>
      <c r="E10" s="36">
        <v>-179.52200000000448</v>
      </c>
      <c r="F10" s="37">
        <v>-0.25000000000000761</v>
      </c>
      <c r="G10" s="36">
        <v>-628.3269999999975</v>
      </c>
      <c r="I10" s="28">
        <v>-4645.4860000000044</v>
      </c>
      <c r="J10" s="28">
        <v>-13936.458000000006</v>
      </c>
      <c r="K10" s="28">
        <v>-9290.9720000000016</v>
      </c>
      <c r="L10" s="29">
        <v>-1.9999999999999984</v>
      </c>
      <c r="M10" s="28">
        <v>-6911.5829999999951</v>
      </c>
    </row>
    <row r="11" spans="1:14" ht="16" customHeight="1" x14ac:dyDescent="0.25">
      <c r="A11" s="107" t="s">
        <v>250</v>
      </c>
      <c r="B11" s="63" t="s">
        <v>229</v>
      </c>
      <c r="C11" s="36">
        <v>-592.94400000000314</v>
      </c>
      <c r="D11" s="36">
        <v>-741.18000000000029</v>
      </c>
      <c r="E11" s="36">
        <v>-148.23599999999715</v>
      </c>
      <c r="F11" s="37">
        <v>-0.24999999999999387</v>
      </c>
      <c r="G11" s="36">
        <v>-518.82600000000457</v>
      </c>
      <c r="I11" s="28">
        <v>-2862.0679999999993</v>
      </c>
      <c r="J11" s="28">
        <v>-8586.2039999999979</v>
      </c>
      <c r="K11" s="28">
        <v>-5724.1359999999986</v>
      </c>
      <c r="L11" s="29">
        <v>-2</v>
      </c>
      <c r="M11" s="28">
        <v>-5707.1630000000041</v>
      </c>
    </row>
    <row r="12" spans="1:14" ht="16" customHeight="1" x14ac:dyDescent="0.25">
      <c r="A12" s="107" t="s">
        <v>263</v>
      </c>
      <c r="B12" s="63" t="s">
        <v>28</v>
      </c>
      <c r="C12" s="36">
        <v>-140.00799999999981</v>
      </c>
      <c r="D12" s="36">
        <v>-175.01000000000022</v>
      </c>
      <c r="E12" s="36">
        <v>-35.002000000000407</v>
      </c>
      <c r="F12" s="37">
        <v>-0.25000000000000328</v>
      </c>
      <c r="G12" s="36">
        <v>-122.50700000000052</v>
      </c>
      <c r="I12" s="28">
        <v>-782.96600000000035</v>
      </c>
      <c r="J12" s="28">
        <v>-2348.8980000000001</v>
      </c>
      <c r="K12" s="28">
        <v>-1565.9319999999998</v>
      </c>
      <c r="L12" s="29">
        <v>-1.9999999999999989</v>
      </c>
      <c r="M12" s="28">
        <v>-1347.5770000000002</v>
      </c>
    </row>
    <row r="13" spans="1:14" ht="16" customHeight="1" x14ac:dyDescent="0.25">
      <c r="A13" s="107" t="s">
        <v>266</v>
      </c>
      <c r="B13" s="63" t="s">
        <v>47</v>
      </c>
      <c r="C13" s="36">
        <v>-148.35999999999967</v>
      </c>
      <c r="D13" s="36">
        <v>-185.44999999999982</v>
      </c>
      <c r="E13" s="36">
        <v>-37.090000000000146</v>
      </c>
      <c r="F13" s="37">
        <v>-0.25000000000000155</v>
      </c>
      <c r="G13" s="36">
        <v>-129.8149999999996</v>
      </c>
      <c r="I13" s="28">
        <v>-556.84600000000046</v>
      </c>
      <c r="J13" s="28">
        <v>-1670.5380000000005</v>
      </c>
      <c r="K13" s="28">
        <v>-1113.692</v>
      </c>
      <c r="L13" s="29">
        <v>-1.9999999999999984</v>
      </c>
      <c r="M13" s="28">
        <v>-1428.0349999999999</v>
      </c>
    </row>
    <row r="14" spans="1:14" ht="16" customHeight="1" x14ac:dyDescent="0.25">
      <c r="A14" s="107" t="s">
        <v>268</v>
      </c>
      <c r="B14" s="63" t="s">
        <v>12</v>
      </c>
      <c r="C14" s="36">
        <v>29128.495999999926</v>
      </c>
      <c r="D14" s="36">
        <v>36410.620000000112</v>
      </c>
      <c r="E14" s="36">
        <v>7282.1240000001853</v>
      </c>
      <c r="F14" s="37">
        <v>0.25000000000000699</v>
      </c>
      <c r="G14" s="36">
        <v>25487.434000000008</v>
      </c>
      <c r="I14" s="28">
        <v>591626.42400000012</v>
      </c>
      <c r="J14" s="28">
        <v>837419.44799999986</v>
      </c>
      <c r="K14" s="28">
        <v>245793.02399999974</v>
      </c>
      <c r="L14" s="29">
        <v>0.41545308665929315</v>
      </c>
      <c r="M14" s="28">
        <v>584031.81200000015</v>
      </c>
    </row>
    <row r="15" spans="1:14" s="4" customFormat="1" ht="16" customHeight="1" x14ac:dyDescent="0.25">
      <c r="A15" s="116"/>
      <c r="B15" s="69" t="s">
        <v>292</v>
      </c>
      <c r="C15" s="64"/>
      <c r="D15" s="64"/>
      <c r="E15" s="64"/>
      <c r="F15" s="65"/>
      <c r="G15" s="64"/>
      <c r="I15" s="66"/>
      <c r="J15" s="66"/>
      <c r="K15" s="66"/>
      <c r="L15" s="67"/>
      <c r="M15" s="66"/>
      <c r="N15" s="68"/>
    </row>
    <row r="16" spans="1:14" ht="16" customHeight="1" x14ac:dyDescent="0.25">
      <c r="A16" s="107" t="s">
        <v>257</v>
      </c>
      <c r="B16" s="63" t="s">
        <v>71</v>
      </c>
      <c r="C16" s="36">
        <v>-260.27999999999884</v>
      </c>
      <c r="D16" s="36">
        <v>-325.34999999999854</v>
      </c>
      <c r="E16" s="36">
        <v>-65.069999999999709</v>
      </c>
      <c r="F16" s="37">
        <v>-0.25</v>
      </c>
      <c r="G16" s="36">
        <v>-227.74499999999898</v>
      </c>
      <c r="I16" s="28">
        <v>-1006.4890000000014</v>
      </c>
      <c r="J16" s="28">
        <v>-3019.4670000000006</v>
      </c>
      <c r="K16" s="28">
        <v>-2012.9779999999992</v>
      </c>
      <c r="L16" s="29">
        <v>-1.9999999999999964</v>
      </c>
      <c r="M16" s="28">
        <v>-2505.1669999999995</v>
      </c>
    </row>
    <row r="17" spans="1:14" ht="16" customHeight="1" x14ac:dyDescent="0.25">
      <c r="A17" s="107" t="s">
        <v>255</v>
      </c>
      <c r="B17" s="63" t="s">
        <v>26</v>
      </c>
      <c r="C17" s="36">
        <v>-132.83199999999943</v>
      </c>
      <c r="D17" s="36">
        <v>-166.03999999999996</v>
      </c>
      <c r="E17" s="36">
        <v>-33.208000000000538</v>
      </c>
      <c r="F17" s="37">
        <v>-0.25000000000000516</v>
      </c>
      <c r="G17" s="36">
        <v>-116.22800000000007</v>
      </c>
      <c r="I17" s="28">
        <v>-785.61100000000079</v>
      </c>
      <c r="J17" s="28">
        <v>-2356.8330000000005</v>
      </c>
      <c r="K17" s="28">
        <v>-1571.2219999999998</v>
      </c>
      <c r="L17" s="29">
        <v>-1.9999999999999978</v>
      </c>
      <c r="M17" s="28">
        <v>-1278.570999999999</v>
      </c>
    </row>
    <row r="18" spans="1:14" ht="16" customHeight="1" x14ac:dyDescent="0.25">
      <c r="A18" s="107" t="s">
        <v>252</v>
      </c>
      <c r="B18" s="63" t="s">
        <v>143</v>
      </c>
      <c r="C18" s="36">
        <v>-520.28800000000047</v>
      </c>
      <c r="D18" s="36">
        <v>-650.36000000000058</v>
      </c>
      <c r="E18" s="36">
        <v>-130.07200000000012</v>
      </c>
      <c r="F18" s="37">
        <v>-0.25</v>
      </c>
      <c r="G18" s="36">
        <v>-455.25200000000041</v>
      </c>
      <c r="I18" s="28">
        <v>-2583.8560000000034</v>
      </c>
      <c r="J18" s="28">
        <v>-7751.5680000000029</v>
      </c>
      <c r="K18" s="28">
        <v>-5167.7119999999995</v>
      </c>
      <c r="L18" s="29">
        <v>-1.9999999999999971</v>
      </c>
      <c r="M18" s="28">
        <v>-5007.7299999999996</v>
      </c>
    </row>
    <row r="19" spans="1:14" ht="16" customHeight="1" x14ac:dyDescent="0.25">
      <c r="A19" s="107" t="s">
        <v>256</v>
      </c>
      <c r="B19" s="63" t="s">
        <v>158</v>
      </c>
      <c r="C19" s="36">
        <v>-520.68799999999828</v>
      </c>
      <c r="D19" s="36">
        <v>-650.86000000000058</v>
      </c>
      <c r="E19" s="36">
        <v>-130.1720000000023</v>
      </c>
      <c r="F19" s="37">
        <v>-0.25000000000000522</v>
      </c>
      <c r="G19" s="36">
        <v>-455.60199999999895</v>
      </c>
      <c r="I19" s="28">
        <v>-2114.0420000000013</v>
      </c>
      <c r="J19" s="28">
        <v>-6342.1260000000002</v>
      </c>
      <c r="K19" s="28">
        <v>-4228.0839999999989</v>
      </c>
      <c r="L19" s="29">
        <v>-1.9999999999999982</v>
      </c>
      <c r="M19" s="28">
        <v>-5011.5939999999973</v>
      </c>
    </row>
    <row r="20" spans="1:14" ht="16" customHeight="1" x14ac:dyDescent="0.25">
      <c r="A20" s="107" t="s">
        <v>254</v>
      </c>
      <c r="B20" s="63" t="s">
        <v>153</v>
      </c>
      <c r="C20" s="36">
        <v>-409.36800000000221</v>
      </c>
      <c r="D20" s="36">
        <v>-511.71000000000276</v>
      </c>
      <c r="E20" s="36">
        <v>-102.34200000000055</v>
      </c>
      <c r="F20" s="37">
        <v>-0.25</v>
      </c>
      <c r="G20" s="36">
        <v>-358.19700000000194</v>
      </c>
      <c r="I20" s="28">
        <v>-1953.9450000000015</v>
      </c>
      <c r="J20" s="28">
        <v>-5861.8350000000009</v>
      </c>
      <c r="K20" s="28">
        <v>-3907.8899999999994</v>
      </c>
      <c r="L20" s="29">
        <v>-1.9999999999999982</v>
      </c>
      <c r="M20" s="28">
        <v>-3940.1460000000006</v>
      </c>
    </row>
    <row r="21" spans="1:14" ht="16" customHeight="1" x14ac:dyDescent="0.25">
      <c r="A21" s="107" t="s">
        <v>259</v>
      </c>
      <c r="B21" s="63" t="s">
        <v>29</v>
      </c>
      <c r="C21" s="36">
        <v>-477.76800000000003</v>
      </c>
      <c r="D21" s="36">
        <v>-597.20999999999913</v>
      </c>
      <c r="E21" s="36">
        <v>-119.4419999999991</v>
      </c>
      <c r="F21" s="37">
        <v>-0.24999999999999808</v>
      </c>
      <c r="G21" s="36">
        <v>-418.04699999999866</v>
      </c>
      <c r="I21" s="28">
        <v>-2973.461000000003</v>
      </c>
      <c r="J21" s="28">
        <v>-8920.3830000000016</v>
      </c>
      <c r="K21" s="28">
        <v>-5946.9219999999987</v>
      </c>
      <c r="L21" s="29">
        <v>-1.9999999999999976</v>
      </c>
      <c r="M21" s="28">
        <v>-4598.5030000000006</v>
      </c>
    </row>
    <row r="22" spans="1:14" ht="16" customHeight="1" x14ac:dyDescent="0.25">
      <c r="A22" s="107" t="s">
        <v>260</v>
      </c>
      <c r="B22" s="63" t="s">
        <v>165</v>
      </c>
      <c r="C22" s="36">
        <v>-1828.0080000000016</v>
      </c>
      <c r="D22" s="36">
        <v>-2285.0099999999948</v>
      </c>
      <c r="E22" s="36">
        <v>-457.00199999999313</v>
      </c>
      <c r="F22" s="37">
        <v>-0.24999999999999603</v>
      </c>
      <c r="G22" s="36">
        <v>-1599.5070000000051</v>
      </c>
      <c r="I22" s="28">
        <v>-7491.6550000000061</v>
      </c>
      <c r="J22" s="28">
        <v>-22474.965000000004</v>
      </c>
      <c r="K22" s="28">
        <v>-14983.309999999998</v>
      </c>
      <c r="L22" s="29">
        <v>-1.999999999999998</v>
      </c>
      <c r="M22" s="28">
        <v>-17594.612000000001</v>
      </c>
    </row>
    <row r="23" spans="1:14" ht="16" customHeight="1" x14ac:dyDescent="0.25">
      <c r="A23" s="107" t="s">
        <v>264</v>
      </c>
      <c r="B23" s="63" t="s">
        <v>177</v>
      </c>
      <c r="C23" s="36">
        <v>-1393.2880000000005</v>
      </c>
      <c r="D23" s="36">
        <v>-1741.6100000000006</v>
      </c>
      <c r="E23" s="36">
        <v>-348.32200000000012</v>
      </c>
      <c r="F23" s="37">
        <v>-0.25</v>
      </c>
      <c r="G23" s="36">
        <v>-1219.1270000000004</v>
      </c>
      <c r="I23" s="28">
        <v>-5470.4800000000032</v>
      </c>
      <c r="J23" s="28">
        <v>-16411.440000000002</v>
      </c>
      <c r="K23" s="28">
        <v>-10940.96</v>
      </c>
      <c r="L23" s="29">
        <v>-1.9999999999999987</v>
      </c>
      <c r="M23" s="28">
        <v>-13410.397000000004</v>
      </c>
    </row>
    <row r="24" spans="1:14" s="4" customFormat="1" ht="16" customHeight="1" x14ac:dyDescent="0.25">
      <c r="A24" s="116"/>
      <c r="B24" s="69" t="s">
        <v>16</v>
      </c>
      <c r="C24" s="70">
        <v>5480.2959999999621</v>
      </c>
      <c r="D24" s="70">
        <v>6850.370000000119</v>
      </c>
      <c r="E24" s="70">
        <v>1370.0740000001542</v>
      </c>
      <c r="F24" s="71">
        <v>0.25000000000002986</v>
      </c>
      <c r="G24" s="70">
        <v>4795.259</v>
      </c>
      <c r="I24" s="70">
        <v>48104.703000000183</v>
      </c>
      <c r="J24" s="70">
        <v>99870.212999999843</v>
      </c>
      <c r="K24" s="70">
        <v>51765.509999999682</v>
      </c>
      <c r="L24" s="71">
        <v>1.0761008128456688</v>
      </c>
      <c r="M24" s="70">
        <v>68782.77000000031</v>
      </c>
      <c r="N24" s="68"/>
    </row>
    <row r="25" spans="1:14" ht="16" customHeight="1" x14ac:dyDescent="0.25">
      <c r="B25" s="63" t="s">
        <v>23</v>
      </c>
      <c r="C25" s="36">
        <v>-82.192000000000007</v>
      </c>
      <c r="D25" s="36">
        <v>-102.73999999999978</v>
      </c>
      <c r="E25" s="36">
        <v>-20.547999999999774</v>
      </c>
      <c r="F25" s="37">
        <v>-0.24999999999999722</v>
      </c>
      <c r="G25" s="36">
        <v>-71.917999999999665</v>
      </c>
      <c r="I25" s="28">
        <v>-3993.752</v>
      </c>
      <c r="J25" s="28">
        <v>-4992.1899999999996</v>
      </c>
      <c r="K25" s="28">
        <v>-998.43799999999965</v>
      </c>
      <c r="L25" s="29">
        <v>-0.24999999999999992</v>
      </c>
      <c r="M25" s="28">
        <v>-3494.5329999999994</v>
      </c>
    </row>
    <row r="26" spans="1:14" ht="16" customHeight="1" x14ac:dyDescent="0.25">
      <c r="A26" s="107" t="s">
        <v>262</v>
      </c>
      <c r="B26" s="63" t="s">
        <v>199</v>
      </c>
      <c r="C26" s="36">
        <v>-390.67200000000048</v>
      </c>
      <c r="D26" s="36">
        <v>-488.34000000000015</v>
      </c>
      <c r="E26" s="36">
        <v>-97.667999999999665</v>
      </c>
      <c r="F26" s="37">
        <v>-0.24999999999999883</v>
      </c>
      <c r="G26" s="36">
        <v>-341.83799999999974</v>
      </c>
      <c r="I26" s="28">
        <v>-11379.779</v>
      </c>
      <c r="J26" s="28">
        <v>-15719.859000000002</v>
      </c>
      <c r="K26" s="28">
        <v>-4340.0800000000017</v>
      </c>
      <c r="L26" s="29">
        <v>-0.38138526240272341</v>
      </c>
      <c r="M26" s="28">
        <v>-10451.384999999998</v>
      </c>
    </row>
    <row r="27" spans="1:14" s="4" customFormat="1" ht="16" customHeight="1" thickBot="1" x14ac:dyDescent="0.3">
      <c r="A27" s="116"/>
      <c r="B27" s="69" t="s">
        <v>14</v>
      </c>
      <c r="C27" s="72">
        <v>5007.4319999999616</v>
      </c>
      <c r="D27" s="72">
        <v>6259.2900000001191</v>
      </c>
      <c r="E27" s="72">
        <v>1251.8580000001548</v>
      </c>
      <c r="F27" s="73">
        <v>0.25000000000003281</v>
      </c>
      <c r="G27" s="72">
        <v>4381.5030000000006</v>
      </c>
      <c r="I27" s="72">
        <v>32731.172000000181</v>
      </c>
      <c r="J27" s="72">
        <v>79158.163999999844</v>
      </c>
      <c r="K27" s="72">
        <v>46426.991999999678</v>
      </c>
      <c r="L27" s="73">
        <v>1.4184335348578236</v>
      </c>
      <c r="M27" s="72">
        <v>54836.852000000319</v>
      </c>
      <c r="N27" s="68"/>
    </row>
    <row r="28" spans="1:14" s="3" customFormat="1" ht="16" customHeight="1" x14ac:dyDescent="0.25">
      <c r="A28" s="111"/>
      <c r="B28" s="60" t="s">
        <v>15</v>
      </c>
      <c r="C28" s="61"/>
      <c r="D28" s="61"/>
      <c r="E28" s="61"/>
      <c r="F28" s="62"/>
      <c r="G28" s="61"/>
      <c r="I28" s="61"/>
      <c r="J28" s="61"/>
      <c r="K28" s="61"/>
      <c r="L28" s="62"/>
      <c r="M28" s="61"/>
      <c r="N28" s="53"/>
    </row>
    <row r="29" spans="1:14" ht="16" customHeight="1" x14ac:dyDescent="0.25">
      <c r="A29" s="107" t="s">
        <v>247</v>
      </c>
      <c r="B29" s="63" t="s">
        <v>119</v>
      </c>
      <c r="C29" s="36">
        <v>-1147.5519999999997</v>
      </c>
      <c r="D29" s="36">
        <v>-1434.4400000000023</v>
      </c>
      <c r="E29" s="36">
        <v>-286.88800000000265</v>
      </c>
      <c r="F29" s="37">
        <v>-0.25000000000000239</v>
      </c>
      <c r="G29" s="36">
        <v>-1004.1079999999965</v>
      </c>
      <c r="I29" s="28">
        <v>-3925.9910000000054</v>
      </c>
      <c r="J29" s="28">
        <v>-11777.973000000002</v>
      </c>
      <c r="K29" s="28">
        <v>-7851.9819999999963</v>
      </c>
      <c r="L29" s="29">
        <v>-1.9999999999999962</v>
      </c>
      <c r="M29" s="28">
        <v>-11045.215999999997</v>
      </c>
    </row>
    <row r="30" spans="1:14" ht="16" customHeight="1" x14ac:dyDescent="0.25">
      <c r="A30" s="107" t="s">
        <v>249</v>
      </c>
      <c r="B30" s="63" t="s">
        <v>121</v>
      </c>
      <c r="C30" s="36">
        <v>-503.28800000000047</v>
      </c>
      <c r="D30" s="36">
        <v>-629.11000000000422</v>
      </c>
      <c r="E30" s="36">
        <v>-125.82200000000375</v>
      </c>
      <c r="F30" s="37">
        <v>-0.25000000000000722</v>
      </c>
      <c r="G30" s="36">
        <v>-440.37700000000041</v>
      </c>
      <c r="I30" s="28">
        <v>-2115.3510000000024</v>
      </c>
      <c r="J30" s="28">
        <v>-6346.0530000000035</v>
      </c>
      <c r="K30" s="28">
        <v>-4230.7020000000011</v>
      </c>
      <c r="L30" s="29">
        <v>-1.9999999999999982</v>
      </c>
      <c r="M30" s="28">
        <v>-4844.0629999999983</v>
      </c>
    </row>
    <row r="31" spans="1:14" ht="16" customHeight="1" x14ac:dyDescent="0.25">
      <c r="A31" s="107" t="s">
        <v>251</v>
      </c>
      <c r="B31" s="63" t="s">
        <v>9</v>
      </c>
      <c r="C31" s="36">
        <v>-77.407999999999902</v>
      </c>
      <c r="D31" s="36">
        <v>-96.760000000000218</v>
      </c>
      <c r="E31" s="36">
        <v>-19.352000000000317</v>
      </c>
      <c r="F31" s="37">
        <v>-0.25000000000000439</v>
      </c>
      <c r="G31" s="36">
        <v>-67.732000000000426</v>
      </c>
      <c r="I31" s="28">
        <v>-480.58500000000004</v>
      </c>
      <c r="J31" s="28">
        <v>-1441.7550000000001</v>
      </c>
      <c r="K31" s="28">
        <v>-961.17000000000007</v>
      </c>
      <c r="L31" s="29">
        <v>-2</v>
      </c>
      <c r="M31" s="28">
        <v>-745.0310000000004</v>
      </c>
    </row>
    <row r="32" spans="1:14" s="4" customFormat="1" ht="16" customHeight="1" thickBot="1" x14ac:dyDescent="0.3">
      <c r="A32" s="116"/>
      <c r="B32" s="69" t="s">
        <v>17</v>
      </c>
      <c r="C32" s="72">
        <v>-1728.248</v>
      </c>
      <c r="D32" s="72">
        <v>-2160.3100000000068</v>
      </c>
      <c r="E32" s="72">
        <v>-432.06200000000672</v>
      </c>
      <c r="F32" s="73">
        <v>-0.25000000000000389</v>
      </c>
      <c r="G32" s="72">
        <v>-1512.2169999999974</v>
      </c>
      <c r="I32" s="72">
        <v>-6521.9270000000079</v>
      </c>
      <c r="J32" s="72">
        <v>-19565.781000000006</v>
      </c>
      <c r="K32" s="72">
        <v>-13043.853999999998</v>
      </c>
      <c r="L32" s="73">
        <v>-1.9999999999999971</v>
      </c>
      <c r="M32" s="72">
        <v>-16634.309999999994</v>
      </c>
      <c r="N32" s="68"/>
    </row>
    <row r="33" spans="1:14" s="3" customFormat="1" ht="16" customHeight="1" x14ac:dyDescent="0.25">
      <c r="A33" s="111"/>
      <c r="B33" s="60" t="s">
        <v>18</v>
      </c>
      <c r="C33" s="61"/>
      <c r="D33" s="61"/>
      <c r="E33" s="61"/>
      <c r="F33" s="62"/>
      <c r="G33" s="61"/>
      <c r="I33" s="61"/>
      <c r="J33" s="61"/>
      <c r="K33" s="61"/>
      <c r="L33" s="62"/>
      <c r="M33" s="61"/>
      <c r="N33" s="53"/>
    </row>
    <row r="34" spans="1:14" ht="16" customHeight="1" x14ac:dyDescent="0.25">
      <c r="A34" s="107" t="s">
        <v>267</v>
      </c>
      <c r="B34" s="63" t="s">
        <v>182</v>
      </c>
      <c r="C34" s="36">
        <v>-123.63999999999987</v>
      </c>
      <c r="D34" s="36">
        <v>-154.54999999999973</v>
      </c>
      <c r="E34" s="28">
        <v>-30.909999999999854</v>
      </c>
      <c r="G34" s="36">
        <v>-108.18499999999995</v>
      </c>
      <c r="I34" s="28">
        <v>-396.83100000000013</v>
      </c>
      <c r="J34" s="28">
        <v>-1190.4929999999999</v>
      </c>
      <c r="K34" s="28">
        <v>-793.66199999999981</v>
      </c>
      <c r="L34" s="29">
        <v>-1.9999999999999989</v>
      </c>
      <c r="M34" s="28">
        <v>-1189.9929999999999</v>
      </c>
    </row>
    <row r="35" spans="1:14" ht="16" customHeight="1" x14ac:dyDescent="0.25">
      <c r="A35" s="107" t="s">
        <v>261</v>
      </c>
      <c r="B35" s="63" t="s">
        <v>24</v>
      </c>
      <c r="C35" s="36">
        <v>-683.40799999999945</v>
      </c>
      <c r="D35" s="36">
        <v>-854.26000000000022</v>
      </c>
      <c r="E35" s="28">
        <v>-170.85200000000077</v>
      </c>
      <c r="F35" s="29">
        <v>-0.25000000000000133</v>
      </c>
      <c r="G35" s="36">
        <v>-597.98199999999997</v>
      </c>
      <c r="I35" s="28">
        <v>-12044.088000000003</v>
      </c>
      <c r="J35" s="28">
        <v>-17096.912000000004</v>
      </c>
      <c r="K35" s="28">
        <v>-5052.8240000000005</v>
      </c>
      <c r="L35" s="29">
        <v>-0.41952732328093245</v>
      </c>
      <c r="M35" s="28">
        <v>-13218.113999999998</v>
      </c>
    </row>
    <row r="36" spans="1:14" ht="16" customHeight="1" x14ac:dyDescent="0.25">
      <c r="A36" s="107" t="s">
        <v>265</v>
      </c>
      <c r="B36" s="63" t="s">
        <v>27</v>
      </c>
      <c r="C36" s="36">
        <v>-535.98400000000038</v>
      </c>
      <c r="D36" s="36">
        <v>-669.97999999999956</v>
      </c>
      <c r="E36" s="28">
        <v>-133.99599999999919</v>
      </c>
      <c r="F36" s="29">
        <v>-0.24999999999999831</v>
      </c>
      <c r="G36" s="36">
        <v>-468.98600000000079</v>
      </c>
      <c r="I36" s="28">
        <v>-2894.4530000000013</v>
      </c>
      <c r="J36" s="28">
        <v>-8683.3590000000004</v>
      </c>
      <c r="K36" s="28">
        <v>-5788.905999999999</v>
      </c>
      <c r="L36" s="29">
        <v>-1.9999999999999987</v>
      </c>
      <c r="M36" s="28">
        <v>-5158.8459999999995</v>
      </c>
    </row>
    <row r="37" spans="1:14" s="4" customFormat="1" ht="16" customHeight="1" thickBot="1" x14ac:dyDescent="0.3">
      <c r="A37" s="116"/>
      <c r="B37" s="69" t="s">
        <v>19</v>
      </c>
      <c r="C37" s="72">
        <v>-1343.0319999999997</v>
      </c>
      <c r="D37" s="72">
        <v>-1678.7899999999995</v>
      </c>
      <c r="E37" s="72">
        <v>-335.75799999999981</v>
      </c>
      <c r="F37" s="73">
        <v>-0.24999999999999992</v>
      </c>
      <c r="G37" s="72">
        <v>-1175.1530000000007</v>
      </c>
      <c r="I37" s="72">
        <v>-15335.372000000005</v>
      </c>
      <c r="J37" s="72">
        <v>-26970.764000000003</v>
      </c>
      <c r="K37" s="72">
        <v>-11635.392</v>
      </c>
      <c r="L37" s="73">
        <v>-0.75872903507003264</v>
      </c>
      <c r="M37" s="72">
        <v>-19566.952999999998</v>
      </c>
      <c r="N37" s="68"/>
    </row>
    <row r="38" spans="1:14" ht="16" customHeight="1" x14ac:dyDescent="0.25">
      <c r="B38" s="1" t="s">
        <v>358</v>
      </c>
      <c r="C38" s="28">
        <v>1936.1519999999618</v>
      </c>
      <c r="D38" s="28">
        <v>2420.1900000001128</v>
      </c>
      <c r="E38" s="28">
        <v>484.03800000015099</v>
      </c>
      <c r="F38" s="29">
        <v>0.25000000000008293</v>
      </c>
      <c r="G38" s="28">
        <v>1694.1330000000025</v>
      </c>
      <c r="I38" s="28">
        <v>10873.873000000169</v>
      </c>
      <c r="J38" s="28">
        <v>32621.618999999839</v>
      </c>
      <c r="K38" s="28">
        <v>21747.745999999672</v>
      </c>
      <c r="L38" s="29">
        <v>1.9999999999999387</v>
      </c>
      <c r="M38" s="28">
        <v>18635.589000000324</v>
      </c>
    </row>
    <row r="39" spans="1:14" ht="16" customHeight="1" x14ac:dyDescent="0.25">
      <c r="A39" s="107" t="s">
        <v>253</v>
      </c>
      <c r="B39" s="63" t="s">
        <v>76</v>
      </c>
      <c r="C39" s="28">
        <v>85054.831999999995</v>
      </c>
      <c r="D39" s="28">
        <v>106318.54</v>
      </c>
      <c r="E39" s="28">
        <v>21263.707999999999</v>
      </c>
      <c r="F39" s="29">
        <v>0.25</v>
      </c>
      <c r="G39" s="28">
        <v>74422.977999999988</v>
      </c>
      <c r="I39" s="28">
        <v>76117.11099999999</v>
      </c>
      <c r="J39" s="28">
        <v>76117.11099999999</v>
      </c>
      <c r="K39" s="28">
        <v>0</v>
      </c>
      <c r="L39" s="29">
        <v>0</v>
      </c>
      <c r="M39" s="28">
        <v>57481.521999999997</v>
      </c>
    </row>
    <row r="40" spans="1:14" s="3" customFormat="1" ht="16" customHeight="1" thickBot="1" x14ac:dyDescent="0.3">
      <c r="A40" s="107"/>
      <c r="B40" s="60" t="s">
        <v>77</v>
      </c>
      <c r="C40" s="51">
        <v>86990.983999999953</v>
      </c>
      <c r="D40" s="51">
        <v>108738.73000000011</v>
      </c>
      <c r="E40" s="51">
        <v>21747.746000000148</v>
      </c>
      <c r="F40" s="52">
        <v>0.25000000000000183</v>
      </c>
      <c r="G40" s="51">
        <v>76117.11099999999</v>
      </c>
      <c r="I40" s="51">
        <v>86990.984000000157</v>
      </c>
      <c r="J40" s="51">
        <v>108738.72999999984</v>
      </c>
      <c r="K40" s="51">
        <v>21747.745999999672</v>
      </c>
      <c r="L40" s="52">
        <v>0.24999999999999578</v>
      </c>
      <c r="M40" s="51">
        <v>76117.111000000325</v>
      </c>
      <c r="N40" s="53"/>
    </row>
    <row r="41" spans="1:14" ht="16" customHeight="1" thickTop="1" x14ac:dyDescent="0.25"/>
  </sheetData>
  <sheetProtection algorithmName="SHA-512" hashValue="ktWgjEleHZq6mVBoBsLSJnU402MkPDm6kgutChFrgf6jpo51aeqxeY5/zMC06OrJ44BMrtPa37C6QVWZUK5Xvw==" saltValue="nVoDgi2dxj2z+nTbx+rT8g==" spinCount="100000" sheet="1" objects="1" scenarios="1"/>
  <mergeCells count="2">
    <mergeCell ref="C3:G3"/>
    <mergeCell ref="I3:M3"/>
  </mergeCells>
  <pageMargins left="0.55118110236220474" right="0.55118110236220474" top="0.55118110236220474" bottom="0.55118110236220474" header="0.39370078740157483" footer="0.39370078740157483"/>
  <pageSetup paperSize="9" scale="81" orientation="landscape" r:id="rId1"/>
  <headerFooter>
    <oddFooter>&amp;C&amp;9Page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  <pageSetUpPr fitToPage="1"/>
  </sheetPr>
  <dimension ref="A1:R81"/>
  <sheetViews>
    <sheetView zoomScale="95" zoomScaleNormal="95" workbookViewId="0">
      <pane xSplit="3" ySplit="4" topLeftCell="D75" activePane="bottomRight" state="frozen"/>
      <selection pane="topRight" activeCell="D1" sqref="D1"/>
      <selection pane="bottomLeft" activeCell="A5" sqref="A5"/>
      <selection pane="bottomRight" activeCell="F91" sqref="F91"/>
    </sheetView>
  </sheetViews>
  <sheetFormatPr defaultColWidth="9.08984375" defaultRowHeight="16" customHeight="1" x14ac:dyDescent="0.25"/>
  <cols>
    <col min="1" max="1" width="10.6328125" style="14" customWidth="1"/>
    <col min="2" max="2" width="14.6328125" style="14" customWidth="1"/>
    <col min="3" max="3" width="43.453125" style="14" customWidth="1"/>
    <col min="4" max="15" width="14.6328125" style="21" customWidth="1"/>
    <col min="16" max="18" width="15.6328125" style="21" customWidth="1"/>
    <col min="19" max="16384" width="9.08984375" style="1"/>
  </cols>
  <sheetData>
    <row r="1" spans="1:18" ht="16" customHeight="1" x14ac:dyDescent="0.3">
      <c r="A1" s="106" t="str">
        <f>IF(ISBLANK(Setup!$C$4),"Example (Pty) Limited",Setup!$C$4)</f>
        <v>Example (Pty) Limited</v>
      </c>
    </row>
    <row r="2" spans="1:18" ht="16" customHeight="1" x14ac:dyDescent="0.25">
      <c r="A2" s="2" t="s">
        <v>38</v>
      </c>
    </row>
    <row r="3" spans="1:18" ht="16" customHeight="1" x14ac:dyDescent="0.25">
      <c r="A3" s="24" t="s">
        <v>36</v>
      </c>
      <c r="D3" s="21" cm="1">
        <f t="array" aca="1" ref="D3" ca="1">IF(ForRowCount=0,0,ROUND(SUBTOTAL(9,OFFSET(D$4,1,0,ForRowCount,1)),2))</f>
        <v>0</v>
      </c>
      <c r="E3" s="21" cm="1">
        <f t="array" aca="1" ref="E3" ca="1">IF(ForRowCount=0,0,ROUND(SUBTOTAL(9,OFFSET(E$4,1,0,ForRowCount,1)),2))</f>
        <v>0</v>
      </c>
      <c r="F3" s="21" cm="1">
        <f t="array" aca="1" ref="F3" ca="1">IF(ForRowCount=0,0,ROUND(SUBTOTAL(9,OFFSET(F$4,1,0,ForRowCount,1)),2))</f>
        <v>0</v>
      </c>
      <c r="G3" s="21" cm="1">
        <f t="array" aca="1" ref="G3" ca="1">IF(ForRowCount=0,0,ROUND(SUBTOTAL(9,OFFSET(G$4,1,0,ForRowCount,1)),2))</f>
        <v>0</v>
      </c>
      <c r="H3" s="21" cm="1">
        <f t="array" aca="1" ref="H3" ca="1">IF(ForRowCount=0,0,ROUND(SUBTOTAL(9,OFFSET(H$4,1,0,ForRowCount,1)),2))</f>
        <v>0</v>
      </c>
      <c r="I3" s="21" cm="1">
        <f t="array" aca="1" ref="I3" ca="1">IF(ForRowCount=0,0,ROUND(SUBTOTAL(9,OFFSET(I$4,1,0,ForRowCount,1)),2))</f>
        <v>0</v>
      </c>
      <c r="J3" s="21" cm="1">
        <f t="array" aca="1" ref="J3" ca="1">IF(ForRowCount=0,0,ROUND(SUBTOTAL(9,OFFSET(J$4,1,0,ForRowCount,1)),2))</f>
        <v>0</v>
      </c>
      <c r="K3" s="21" cm="1">
        <f t="array" aca="1" ref="K3" ca="1">IF(ForRowCount=0,0,ROUND(SUBTOTAL(9,OFFSET(K$4,1,0,ForRowCount,1)),2))</f>
        <v>0</v>
      </c>
      <c r="L3" s="21" cm="1">
        <f t="array" aca="1" ref="L3" ca="1">IF(ForRowCount=0,0,ROUND(SUBTOTAL(9,OFFSET(L$4,1,0,ForRowCount,1)),2))</f>
        <v>0</v>
      </c>
      <c r="M3" s="21" cm="1">
        <f t="array" aca="1" ref="M3" ca="1">IF(ForRowCount=0,0,ROUND(SUBTOTAL(9,OFFSET(M$4,1,0,ForRowCount,1)),2))</f>
        <v>0</v>
      </c>
      <c r="N3" s="21" cm="1">
        <f t="array" aca="1" ref="N3" ca="1">IF(ForRowCount=0,0,ROUND(SUBTOTAL(9,OFFSET(N$4,1,0,ForRowCount,1)),2))</f>
        <v>0</v>
      </c>
      <c r="O3" s="21" cm="1">
        <f t="array" aca="1" ref="O3" ca="1">IF(ForRowCount=0,0,ROUND(SUBTOTAL(9,OFFSET(O$4,1,0,ForRowCount,1)),2))</f>
        <v>0</v>
      </c>
    </row>
    <row r="4" spans="1:18" s="20" customFormat="1" ht="18" customHeight="1" x14ac:dyDescent="0.25">
      <c r="A4" s="12" t="s">
        <v>6</v>
      </c>
      <c r="B4" s="17" t="s">
        <v>20</v>
      </c>
      <c r="C4" s="12" t="s">
        <v>7</v>
      </c>
      <c r="D4" s="26">
        <f ca="1">DATE(YEAR(Setup!$C$10)-1,MONTH(Setup!$C$10)+2,0)</f>
        <v>45747</v>
      </c>
      <c r="E4" s="26">
        <f ca="1">DATE(YEAR(D4),MONTH(D4)+2,0)</f>
        <v>45777</v>
      </c>
      <c r="F4" s="26">
        <f t="shared" ref="F4:O4" ca="1" si="0">DATE(YEAR(E4),MONTH(E4)+2,0)</f>
        <v>45808</v>
      </c>
      <c r="G4" s="26">
        <f t="shared" ca="1" si="0"/>
        <v>45838</v>
      </c>
      <c r="H4" s="26">
        <f t="shared" ca="1" si="0"/>
        <v>45869</v>
      </c>
      <c r="I4" s="26">
        <f t="shared" ca="1" si="0"/>
        <v>45900</v>
      </c>
      <c r="J4" s="26">
        <f t="shared" ca="1" si="0"/>
        <v>45930</v>
      </c>
      <c r="K4" s="26">
        <f t="shared" ca="1" si="0"/>
        <v>45961</v>
      </c>
      <c r="L4" s="26">
        <f t="shared" ca="1" si="0"/>
        <v>45991</v>
      </c>
      <c r="M4" s="26">
        <f t="shared" ca="1" si="0"/>
        <v>46022</v>
      </c>
      <c r="N4" s="26">
        <f t="shared" ca="1" si="0"/>
        <v>46053</v>
      </c>
      <c r="O4" s="26">
        <f t="shared" ca="1" si="0"/>
        <v>46081</v>
      </c>
      <c r="P4" s="27"/>
      <c r="Q4" s="27"/>
      <c r="R4" s="27"/>
    </row>
    <row r="5" spans="1:18" ht="16" customHeight="1" x14ac:dyDescent="0.25">
      <c r="A5" s="14" t="str">
        <f ca="1">IF(ISNA(VLOOKUP($B5,KeyAll,COLUMN(Key!$C$4),0))=TRUE,"No key!",VLOOKUP($B5,KeyAll,COLUMN(Key!$C$4),0))</f>
        <v>B-00G</v>
      </c>
      <c r="B5" s="14" t="s">
        <v>95</v>
      </c>
      <c r="C5" s="1" t="str">
        <f ca="1">IF(ISNA(VLOOKUP($B5,KeyAll,COLUMN(Key!$B$4),0))=TRUE,"No key!",VLOOKUP($B5,KeyAll,COLUMN(Key!$B$4),0))</f>
        <v>Land &amp; Buildings - Cost</v>
      </c>
      <c r="D5" s="21">
        <v>3496.6880000000001</v>
      </c>
      <c r="E5" s="21">
        <v>3766.0800000000004</v>
      </c>
      <c r="F5" s="21">
        <v>4035.4800000000005</v>
      </c>
      <c r="G5" s="21">
        <v>4304.8720000000003</v>
      </c>
      <c r="H5" s="21">
        <v>4574.2719999999999</v>
      </c>
      <c r="I5" s="21">
        <v>4843.6639999999998</v>
      </c>
      <c r="J5" s="21">
        <v>5113.0560000000005</v>
      </c>
      <c r="K5" s="21">
        <v>5382.4560000000001</v>
      </c>
      <c r="L5" s="21">
        <v>5651.8480000000009</v>
      </c>
      <c r="M5" s="21">
        <v>5921.2400000000007</v>
      </c>
      <c r="N5" s="21">
        <v>6190.64</v>
      </c>
      <c r="O5" s="21">
        <v>6460.0320000000002</v>
      </c>
    </row>
    <row r="6" spans="1:18" ht="16" customHeight="1" x14ac:dyDescent="0.25">
      <c r="A6" s="14" t="str">
        <f ca="1">IF(ISNA(VLOOKUP($B6,KeyAll,COLUMN(Key!$C$4),0))=TRUE,"No key!",VLOOKUP($B6,KeyAll,COLUMN(Key!$C$4),0))</f>
        <v>B-00G</v>
      </c>
      <c r="B6" s="14" t="s">
        <v>97</v>
      </c>
      <c r="C6" s="1" t="str">
        <f ca="1">IF(ISNA(VLOOKUP($B6,KeyAll,COLUMN(Key!$B$4),0))=TRUE,"No key!",VLOOKUP($B6,KeyAll,COLUMN(Key!$B$4),0))</f>
        <v>Plant &amp; Equipment - Cost</v>
      </c>
      <c r="D6" s="21">
        <v>6070.3600000000006</v>
      </c>
      <c r="E6" s="21">
        <v>6409.8080000000009</v>
      </c>
      <c r="F6" s="21">
        <v>6749.2560000000003</v>
      </c>
      <c r="G6" s="21">
        <v>7088.7119999999995</v>
      </c>
      <c r="H6" s="21">
        <v>7428.1600000000008</v>
      </c>
      <c r="I6" s="21">
        <v>7767.6160000000009</v>
      </c>
      <c r="J6" s="21">
        <v>8107.0640000000003</v>
      </c>
      <c r="K6" s="21">
        <v>8446.5120000000006</v>
      </c>
      <c r="L6" s="21">
        <v>8785.9679999999989</v>
      </c>
      <c r="M6" s="21">
        <v>9125.4160000000011</v>
      </c>
      <c r="N6" s="21">
        <v>9464.8720000000012</v>
      </c>
      <c r="O6" s="21">
        <v>9804.32</v>
      </c>
    </row>
    <row r="7" spans="1:18" ht="16" customHeight="1" x14ac:dyDescent="0.25">
      <c r="A7" s="14" t="str">
        <f ca="1">IF(ISNA(VLOOKUP($B7,KeyAll,COLUMN(Key!$C$4),0))=TRUE,"No key!",VLOOKUP($B7,KeyAll,COLUMN(Key!$C$4),0))</f>
        <v>B-00G</v>
      </c>
      <c r="B7" s="14" t="s">
        <v>99</v>
      </c>
      <c r="C7" s="1" t="str">
        <f ca="1">IF(ISNA(VLOOKUP($B7,KeyAll,COLUMN(Key!$B$4),0))=TRUE,"No key!",VLOOKUP($B7,KeyAll,COLUMN(Key!$B$4),0))</f>
        <v>Furniture &amp; Fittings - Cost</v>
      </c>
      <c r="D7" s="21">
        <v>1923.3360000000002</v>
      </c>
      <c r="E7" s="21">
        <v>1979.8000000000002</v>
      </c>
      <c r="F7" s="21">
        <v>2036.2720000000002</v>
      </c>
      <c r="G7" s="21">
        <v>2092.7360000000003</v>
      </c>
      <c r="H7" s="21">
        <v>2149.2080000000001</v>
      </c>
      <c r="I7" s="21">
        <v>2205.6799999999998</v>
      </c>
      <c r="J7" s="21">
        <v>2262.1439999999998</v>
      </c>
      <c r="K7" s="21">
        <v>2318.616</v>
      </c>
      <c r="L7" s="21">
        <v>2375.08</v>
      </c>
      <c r="M7" s="21">
        <v>2431.5520000000001</v>
      </c>
      <c r="N7" s="21">
        <v>2488.0160000000001</v>
      </c>
      <c r="O7" s="21">
        <v>2544.4880000000003</v>
      </c>
    </row>
    <row r="8" spans="1:18" ht="16" customHeight="1" x14ac:dyDescent="0.25">
      <c r="A8" s="14" t="str">
        <f ca="1">IF(ISNA(VLOOKUP($B8,KeyAll,COLUMN(Key!$C$4),0))=TRUE,"No key!",VLOOKUP($B8,KeyAll,COLUMN(Key!$C$4),0))</f>
        <v>B-00G</v>
      </c>
      <c r="B8" s="14" t="s">
        <v>101</v>
      </c>
      <c r="C8" s="1" t="str">
        <f ca="1">IF(ISNA(VLOOKUP($B8,KeyAll,COLUMN(Key!$B$4),0))=TRUE,"No key!",VLOOKUP($B8,KeyAll,COLUMN(Key!$B$4),0))</f>
        <v>Office Equipment - Cost</v>
      </c>
      <c r="D8" s="21">
        <v>1218.2</v>
      </c>
      <c r="E8" s="21">
        <v>1305.8800000000001</v>
      </c>
      <c r="F8" s="21">
        <v>1393.5520000000001</v>
      </c>
      <c r="G8" s="21">
        <v>1481.2240000000002</v>
      </c>
      <c r="H8" s="21">
        <v>1568.9040000000002</v>
      </c>
      <c r="I8" s="21">
        <v>1656.576</v>
      </c>
      <c r="J8" s="21">
        <v>1744.248</v>
      </c>
      <c r="K8" s="21">
        <v>1831.9279999999999</v>
      </c>
      <c r="L8" s="21">
        <v>1919.6000000000001</v>
      </c>
      <c r="M8" s="21">
        <v>2007.2720000000002</v>
      </c>
      <c r="N8" s="21">
        <v>2094.9520000000002</v>
      </c>
      <c r="O8" s="21">
        <v>2182.6240000000003</v>
      </c>
    </row>
    <row r="9" spans="1:18" ht="16" customHeight="1" x14ac:dyDescent="0.25">
      <c r="A9" s="14" t="str">
        <f ca="1">IF(ISNA(VLOOKUP($B9,KeyAll,COLUMN(Key!$C$4),0))=TRUE,"No key!",VLOOKUP($B9,KeyAll,COLUMN(Key!$C$4),0))</f>
        <v>B-00G</v>
      </c>
      <c r="B9" s="14" t="s">
        <v>103</v>
      </c>
      <c r="C9" s="1" t="str">
        <f ca="1">IF(ISNA(VLOOKUP($B9,KeyAll,COLUMN(Key!$B$4),0))=TRUE,"No key!",VLOOKUP($B9,KeyAll,COLUMN(Key!$B$4),0))</f>
        <v>Computer Equipment - Cost</v>
      </c>
      <c r="D9" s="21">
        <v>5128.0320000000002</v>
      </c>
      <c r="E9" s="21">
        <v>5448.4480000000003</v>
      </c>
      <c r="F9" s="21">
        <v>5768.8720000000003</v>
      </c>
      <c r="G9" s="21">
        <v>6089.2960000000003</v>
      </c>
      <c r="H9" s="21">
        <v>6409.7120000000004</v>
      </c>
      <c r="I9" s="21">
        <v>6730.1360000000004</v>
      </c>
      <c r="J9" s="21">
        <v>7050.5600000000013</v>
      </c>
      <c r="K9" s="21">
        <v>7370.9759999999997</v>
      </c>
      <c r="L9" s="21">
        <v>7691.4000000000005</v>
      </c>
      <c r="M9" s="21">
        <v>8011.8240000000005</v>
      </c>
      <c r="N9" s="21">
        <v>8332.24</v>
      </c>
      <c r="O9" s="21">
        <v>8652.6640000000007</v>
      </c>
    </row>
    <row r="10" spans="1:18" ht="16" customHeight="1" x14ac:dyDescent="0.25">
      <c r="A10" s="14" t="str">
        <f ca="1">IF(ISNA(VLOOKUP($B10,KeyAll,COLUMN(Key!$C$4),0))=TRUE,"No key!",VLOOKUP($B10,KeyAll,COLUMN(Key!$C$4),0))</f>
        <v>B-00G</v>
      </c>
      <c r="B10" s="14" t="s">
        <v>105</v>
      </c>
      <c r="C10" s="1" t="str">
        <f ca="1">IF(ISNA(VLOOKUP($B10,KeyAll,COLUMN(Key!$B$4),0))=TRUE,"No key!",VLOOKUP($B10,KeyAll,COLUMN(Key!$B$4),0))</f>
        <v>Other Assets - Cost</v>
      </c>
      <c r="D10" s="21">
        <v>948.20800000000008</v>
      </c>
      <c r="E10" s="21">
        <v>1022.3520000000001</v>
      </c>
      <c r="F10" s="21">
        <v>1096.4959999999999</v>
      </c>
      <c r="G10" s="21">
        <v>1170.6400000000001</v>
      </c>
      <c r="H10" s="21">
        <v>1244.7840000000001</v>
      </c>
      <c r="I10" s="21">
        <v>1318.9360000000001</v>
      </c>
      <c r="J10" s="21">
        <v>1393.08</v>
      </c>
      <c r="K10" s="21">
        <v>1467.2240000000002</v>
      </c>
      <c r="L10" s="21">
        <v>1541.3680000000002</v>
      </c>
      <c r="M10" s="21">
        <v>1615.5120000000002</v>
      </c>
      <c r="N10" s="21">
        <v>1689.6560000000002</v>
      </c>
      <c r="O10" s="21">
        <v>1763.8000000000002</v>
      </c>
    </row>
    <row r="11" spans="1:18" ht="16" customHeight="1" x14ac:dyDescent="0.25">
      <c r="A11" s="14" t="str">
        <f ca="1">IF(ISNA(VLOOKUP($B11,KeyAll,COLUMN(Key!$C$4),0))=TRUE,"No key!",VLOOKUP($B11,KeyAll,COLUMN(Key!$C$4),0))</f>
        <v>B-01G</v>
      </c>
      <c r="B11" s="14" t="s">
        <v>107</v>
      </c>
      <c r="C11" s="1" t="str">
        <f ca="1">IF(ISNA(VLOOKUP($B11,KeyAll,COLUMN(Key!$B$4),0))=TRUE,"No key!",VLOOKUP($B11,KeyAll,COLUMN(Key!$B$4),0))</f>
        <v>Land &amp; Buildings - Accum Depreciation</v>
      </c>
      <c r="D11" s="21">
        <v>7061.68</v>
      </c>
      <c r="E11" s="21">
        <v>7220.0880000000006</v>
      </c>
      <c r="F11" s="21">
        <v>7378.496000000001</v>
      </c>
      <c r="G11" s="21">
        <v>7536.8960000000006</v>
      </c>
      <c r="H11" s="21">
        <v>7695.3040000000001</v>
      </c>
      <c r="I11" s="21">
        <v>7853.7119999999995</v>
      </c>
      <c r="J11" s="21">
        <v>8012.12</v>
      </c>
      <c r="K11" s="21">
        <v>8170.5280000000002</v>
      </c>
      <c r="L11" s="21">
        <v>8328.9359999999997</v>
      </c>
      <c r="M11" s="21">
        <v>8487.3360000000011</v>
      </c>
      <c r="N11" s="21">
        <v>8645.7440000000006</v>
      </c>
      <c r="O11" s="21">
        <v>8804.152</v>
      </c>
    </row>
    <row r="12" spans="1:18" ht="16" customHeight="1" x14ac:dyDescent="0.25">
      <c r="A12" s="14" t="str">
        <f ca="1">IF(ISNA(VLOOKUP($B12,KeyAll,COLUMN(Key!$C$4),0))=TRUE,"No key!",VLOOKUP($B12,KeyAll,COLUMN(Key!$C$4),0))</f>
        <v>B-01G</v>
      </c>
      <c r="B12" s="14" t="s">
        <v>109</v>
      </c>
      <c r="C12" s="1" t="str">
        <f ca="1">IF(ISNA(VLOOKUP($B12,KeyAll,COLUMN(Key!$B$4),0))=TRUE,"No key!",VLOOKUP($B12,KeyAll,COLUMN(Key!$B$4),0))</f>
        <v>Plant &amp; Equipment - Accum Depreciation</v>
      </c>
      <c r="D12" s="21">
        <v>3418.2160000000003</v>
      </c>
      <c r="E12" s="21">
        <v>3491.4320000000002</v>
      </c>
      <c r="F12" s="21">
        <v>3564.6480000000006</v>
      </c>
      <c r="G12" s="21">
        <v>3637.864</v>
      </c>
      <c r="H12" s="21">
        <v>3711.0800000000004</v>
      </c>
      <c r="I12" s="21">
        <v>3784.2960000000003</v>
      </c>
      <c r="J12" s="21">
        <v>3857.5120000000006</v>
      </c>
      <c r="K12" s="21">
        <v>3930.7280000000001</v>
      </c>
      <c r="L12" s="21">
        <v>4003.9440000000004</v>
      </c>
      <c r="M12" s="21">
        <v>4077.16</v>
      </c>
      <c r="N12" s="21">
        <v>4150.3760000000002</v>
      </c>
      <c r="O12" s="21">
        <v>4223.5919999999996</v>
      </c>
    </row>
    <row r="13" spans="1:18" ht="16" customHeight="1" x14ac:dyDescent="0.25">
      <c r="A13" s="14" t="str">
        <f ca="1">IF(ISNA(VLOOKUP($B13,KeyAll,COLUMN(Key!$C$4),0))=TRUE,"No key!",VLOOKUP($B13,KeyAll,COLUMN(Key!$C$4),0))</f>
        <v>B-01G</v>
      </c>
      <c r="B13" s="14" t="s">
        <v>111</v>
      </c>
      <c r="C13" s="1" t="str">
        <f ca="1">IF(ISNA(VLOOKUP($B13,KeyAll,COLUMN(Key!$B$4),0))=TRUE,"No key!",VLOOKUP($B13,KeyAll,COLUMN(Key!$B$4),0))</f>
        <v>Furniture &amp; Fittings - Accum Depreciation</v>
      </c>
      <c r="D13" s="21">
        <v>4103.76</v>
      </c>
      <c r="E13" s="21">
        <v>4240.6880000000001</v>
      </c>
      <c r="F13" s="21">
        <v>4377.6160000000009</v>
      </c>
      <c r="G13" s="21">
        <v>4514.5440000000008</v>
      </c>
      <c r="H13" s="21">
        <v>4651.4720000000007</v>
      </c>
      <c r="I13" s="21">
        <v>4788.4000000000005</v>
      </c>
      <c r="J13" s="21">
        <v>4925.32</v>
      </c>
      <c r="K13" s="21">
        <v>5062.2480000000005</v>
      </c>
      <c r="L13" s="21">
        <v>5199.1760000000004</v>
      </c>
      <c r="M13" s="21">
        <v>5336.1040000000003</v>
      </c>
      <c r="N13" s="21">
        <v>5473.0320000000002</v>
      </c>
      <c r="O13" s="21">
        <v>5609.96</v>
      </c>
    </row>
    <row r="14" spans="1:18" ht="16" customHeight="1" x14ac:dyDescent="0.25">
      <c r="A14" s="14" t="str">
        <f ca="1">IF(ISNA(VLOOKUP($B14,KeyAll,COLUMN(Key!$C$4),0))=TRUE,"No key!",VLOOKUP($B14,KeyAll,COLUMN(Key!$C$4),0))</f>
        <v>B-01G</v>
      </c>
      <c r="B14" s="14" t="s">
        <v>113</v>
      </c>
      <c r="C14" s="1" t="str">
        <f ca="1">IF(ISNA(VLOOKUP($B14,KeyAll,COLUMN(Key!$B$4),0))=TRUE,"No key!",VLOOKUP($B14,KeyAll,COLUMN(Key!$B$4),0))</f>
        <v>Office Equipment -  Accum Depreciation</v>
      </c>
      <c r="D14" s="21">
        <v>4818.8959999999997</v>
      </c>
      <c r="E14" s="21">
        <v>4940.2960000000003</v>
      </c>
      <c r="F14" s="21">
        <v>5061.6959999999999</v>
      </c>
      <c r="G14" s="21">
        <v>5183.0960000000005</v>
      </c>
      <c r="H14" s="21">
        <v>5304.5040000000008</v>
      </c>
      <c r="I14" s="21">
        <v>5425.9040000000005</v>
      </c>
      <c r="J14" s="21">
        <v>5547.3040000000001</v>
      </c>
      <c r="K14" s="21">
        <v>5668.7120000000004</v>
      </c>
      <c r="L14" s="21">
        <v>5790.112000000001</v>
      </c>
      <c r="M14" s="21">
        <v>5911.5120000000006</v>
      </c>
      <c r="N14" s="21">
        <v>6032.92</v>
      </c>
      <c r="O14" s="21">
        <v>6154.32</v>
      </c>
    </row>
    <row r="15" spans="1:18" ht="16" customHeight="1" x14ac:dyDescent="0.25">
      <c r="A15" s="14" t="str">
        <f ca="1">IF(ISNA(VLOOKUP($B15,KeyAll,COLUMN(Key!$C$4),0))=TRUE,"No key!",VLOOKUP($B15,KeyAll,COLUMN(Key!$C$4),0))</f>
        <v>B-01G</v>
      </c>
      <c r="B15" s="14" t="s">
        <v>115</v>
      </c>
      <c r="C15" s="1" t="str">
        <f ca="1">IF(ISNA(VLOOKUP($B15,KeyAll,COLUMN(Key!$B$4),0))=TRUE,"No key!",VLOOKUP($B15,KeyAll,COLUMN(Key!$B$4),0))</f>
        <v>Computer Equipment -  Accum Depreciation</v>
      </c>
      <c r="D15" s="21">
        <v>5826.3760000000002</v>
      </c>
      <c r="E15" s="21">
        <v>5942.2160000000003</v>
      </c>
      <c r="F15" s="21">
        <v>6058.0560000000005</v>
      </c>
      <c r="G15" s="21">
        <v>6173.9040000000005</v>
      </c>
      <c r="H15" s="21">
        <v>6289.7440000000006</v>
      </c>
      <c r="I15" s="21">
        <v>6405.5839999999998</v>
      </c>
      <c r="J15" s="21">
        <v>6521.424</v>
      </c>
      <c r="K15" s="21">
        <v>6637.2640000000001</v>
      </c>
      <c r="L15" s="21">
        <v>6753.1120000000001</v>
      </c>
      <c r="M15" s="21">
        <v>6868.9520000000011</v>
      </c>
      <c r="N15" s="21">
        <v>6984.7920000000004</v>
      </c>
      <c r="O15" s="21">
        <v>7100.6320000000014</v>
      </c>
    </row>
    <row r="16" spans="1:18" ht="16" customHeight="1" x14ac:dyDescent="0.25">
      <c r="A16" s="14" t="str">
        <f ca="1">IF(ISNA(VLOOKUP($B16,KeyAll,COLUMN(Key!$C$4),0))=TRUE,"No key!",VLOOKUP($B16,KeyAll,COLUMN(Key!$C$4),0))</f>
        <v>B-01G</v>
      </c>
      <c r="B16" s="14" t="s">
        <v>117</v>
      </c>
      <c r="C16" s="1" t="str">
        <f ca="1">IF(ISNA(VLOOKUP($B16,KeyAll,COLUMN(Key!$B$4),0))=TRUE,"No key!",VLOOKUP($B16,KeyAll,COLUMN(Key!$B$4),0))</f>
        <v>Other Assets -  Accum Depreciation</v>
      </c>
      <c r="D16" s="21">
        <v>4036.0080000000003</v>
      </c>
      <c r="E16" s="21">
        <v>4148.3040000000001</v>
      </c>
      <c r="F16" s="21">
        <v>4260.5919999999996</v>
      </c>
      <c r="G16" s="21">
        <v>4372.8879999999999</v>
      </c>
      <c r="H16" s="21">
        <v>4485.1840000000002</v>
      </c>
      <c r="I16" s="21">
        <v>4597.4720000000007</v>
      </c>
      <c r="J16" s="21">
        <v>4709.768</v>
      </c>
      <c r="K16" s="21">
        <v>4822.0559999999996</v>
      </c>
      <c r="L16" s="21">
        <v>4934.3519999999999</v>
      </c>
      <c r="M16" s="21">
        <v>5046.6400000000003</v>
      </c>
      <c r="N16" s="21">
        <v>5158.9360000000006</v>
      </c>
      <c r="O16" s="21">
        <v>5271.232</v>
      </c>
    </row>
    <row r="17" spans="1:15" ht="16" customHeight="1" x14ac:dyDescent="0.25">
      <c r="A17" s="14" t="str">
        <f ca="1">IF(ISNA(VLOOKUP($B17,KeyAll,COLUMN(Key!$C$4),0))=TRUE,"No key!",VLOOKUP($B17,KeyAll,COLUMN(Key!$C$4),0))</f>
        <v>B-02G</v>
      </c>
      <c r="B17" s="14" t="s">
        <v>130</v>
      </c>
      <c r="C17" s="1" t="str">
        <f ca="1">IF(ISNA(VLOOKUP($B17,KeyAll,COLUMN(Key!$B$4),0))=TRUE,"No key!",VLOOKUP($B17,KeyAll,COLUMN(Key!$B$4),0))</f>
        <v>Goodwill - Cost</v>
      </c>
      <c r="D17" s="21">
        <v>4083.7040000000002</v>
      </c>
      <c r="E17" s="21">
        <v>4357.76</v>
      </c>
      <c r="F17" s="21">
        <v>4631.8239999999996</v>
      </c>
      <c r="G17" s="21">
        <v>4905.88</v>
      </c>
      <c r="H17" s="21">
        <v>5179.9440000000004</v>
      </c>
      <c r="I17" s="21">
        <v>5454</v>
      </c>
      <c r="J17" s="21">
        <v>5728.0640000000003</v>
      </c>
      <c r="K17" s="21">
        <v>6002.12</v>
      </c>
      <c r="L17" s="21">
        <v>6276.1840000000002</v>
      </c>
      <c r="M17" s="21">
        <v>6550.2400000000007</v>
      </c>
      <c r="N17" s="21">
        <v>6824.3040000000001</v>
      </c>
      <c r="O17" s="21">
        <v>7098.3600000000006</v>
      </c>
    </row>
    <row r="18" spans="1:15" ht="16" customHeight="1" x14ac:dyDescent="0.25">
      <c r="A18" s="14" t="str">
        <f ca="1">IF(ISNA(VLOOKUP($B18,KeyAll,COLUMN(Key!$C$4),0))=TRUE,"No key!",VLOOKUP($B18,KeyAll,COLUMN(Key!$C$4),0))</f>
        <v>B-02G</v>
      </c>
      <c r="B18" s="14" t="s">
        <v>132</v>
      </c>
      <c r="C18" s="1" t="str">
        <f ca="1">IF(ISNA(VLOOKUP($B18,KeyAll,COLUMN(Key!$B$4),0))=TRUE,"No key!",VLOOKUP($B18,KeyAll,COLUMN(Key!$B$4),0))</f>
        <v>Trademarks - Cost</v>
      </c>
      <c r="D18" s="21">
        <v>2237.6480000000001</v>
      </c>
      <c r="E18" s="21">
        <v>2351.4479999999999</v>
      </c>
      <c r="F18" s="21">
        <v>2465.2400000000002</v>
      </c>
      <c r="G18" s="21">
        <v>2579.0320000000002</v>
      </c>
      <c r="H18" s="21">
        <v>2692.8240000000005</v>
      </c>
      <c r="I18" s="21">
        <v>2806.616</v>
      </c>
      <c r="J18" s="21">
        <v>2920.4160000000002</v>
      </c>
      <c r="K18" s="21">
        <v>3034.2080000000005</v>
      </c>
      <c r="L18" s="21">
        <v>3148</v>
      </c>
      <c r="M18" s="21">
        <v>3261.7919999999999</v>
      </c>
      <c r="N18" s="21">
        <v>3375.5839999999998</v>
      </c>
      <c r="O18" s="21">
        <v>3489.384</v>
      </c>
    </row>
    <row r="19" spans="1:15" ht="16" customHeight="1" x14ac:dyDescent="0.25">
      <c r="A19" s="14" t="str">
        <f ca="1">IF(ISNA(VLOOKUP($B19,KeyAll,COLUMN(Key!$C$4),0))=TRUE,"No key!",VLOOKUP($B19,KeyAll,COLUMN(Key!$C$4),0))</f>
        <v>B-02G</v>
      </c>
      <c r="B19" s="14" t="s">
        <v>134</v>
      </c>
      <c r="C19" s="1" t="str">
        <f ca="1">IF(ISNA(VLOOKUP($B19,KeyAll,COLUMN(Key!$B$4),0))=TRUE,"No key!",VLOOKUP($B19,KeyAll,COLUMN(Key!$B$4),0))</f>
        <v>Software - Cost</v>
      </c>
      <c r="D19" s="21">
        <v>5065.384</v>
      </c>
      <c r="E19" s="21">
        <v>5180.8080000000009</v>
      </c>
      <c r="F19" s="21">
        <v>5296.232</v>
      </c>
      <c r="G19" s="21">
        <v>5411.6640000000007</v>
      </c>
      <c r="H19" s="21">
        <v>5527.0879999999997</v>
      </c>
      <c r="I19" s="21">
        <v>5642.5120000000006</v>
      </c>
      <c r="J19" s="21">
        <v>5757.9360000000006</v>
      </c>
      <c r="K19" s="21">
        <v>5873.3600000000006</v>
      </c>
      <c r="L19" s="21">
        <v>5988.7839999999997</v>
      </c>
      <c r="M19" s="21">
        <v>6104.2080000000005</v>
      </c>
      <c r="N19" s="21">
        <v>6219.6320000000005</v>
      </c>
      <c r="O19" s="21">
        <v>6335.0640000000003</v>
      </c>
    </row>
    <row r="20" spans="1:15" ht="16" customHeight="1" x14ac:dyDescent="0.25">
      <c r="A20" s="14" t="str">
        <f ca="1">IF(ISNA(VLOOKUP($B20,KeyAll,COLUMN(Key!$C$4),0))=TRUE,"No key!",VLOOKUP($B20,KeyAll,COLUMN(Key!$C$4),0))</f>
        <v>B-03G</v>
      </c>
      <c r="B20" s="14" t="s">
        <v>136</v>
      </c>
      <c r="C20" s="1" t="str">
        <f ca="1">IF(ISNA(VLOOKUP($B20,KeyAll,COLUMN(Key!$B$4),0))=TRUE,"No key!",VLOOKUP($B20,KeyAll,COLUMN(Key!$B$4),0))</f>
        <v>Goodwill - Accum Amortization</v>
      </c>
      <c r="D20" s="21">
        <v>5802.2480000000005</v>
      </c>
      <c r="E20" s="21">
        <v>5923.9120000000003</v>
      </c>
      <c r="F20" s="21">
        <v>6045.5760000000009</v>
      </c>
      <c r="G20" s="21">
        <v>6167.2400000000007</v>
      </c>
      <c r="H20" s="21">
        <v>6288.9040000000005</v>
      </c>
      <c r="I20" s="21">
        <v>6410.5680000000002</v>
      </c>
      <c r="J20" s="21">
        <v>6532.232</v>
      </c>
      <c r="K20" s="21">
        <v>6653.8960000000006</v>
      </c>
      <c r="L20" s="21">
        <v>6775.5600000000013</v>
      </c>
      <c r="M20" s="21">
        <v>6897.2240000000011</v>
      </c>
      <c r="N20" s="21">
        <v>7018.8880000000008</v>
      </c>
      <c r="O20" s="21">
        <v>7140.5520000000006</v>
      </c>
    </row>
    <row r="21" spans="1:15" ht="16" customHeight="1" x14ac:dyDescent="0.25">
      <c r="A21" s="14" t="str">
        <f ca="1">IF(ISNA(VLOOKUP($B21,KeyAll,COLUMN(Key!$C$4),0))=TRUE,"No key!",VLOOKUP($B21,KeyAll,COLUMN(Key!$C$4),0))</f>
        <v>B-03G</v>
      </c>
      <c r="B21" s="14" t="s">
        <v>138</v>
      </c>
      <c r="C21" s="1" t="str">
        <f ca="1">IF(ISNA(VLOOKUP($B21,KeyAll,COLUMN(Key!$B$4),0))=TRUE,"No key!",VLOOKUP($B21,KeyAll,COLUMN(Key!$B$4),0))</f>
        <v>Trademarks - Accum Amortization</v>
      </c>
      <c r="D21" s="21">
        <v>2764.2880000000005</v>
      </c>
      <c r="E21" s="21">
        <v>2897.56</v>
      </c>
      <c r="F21" s="21">
        <v>3030.8240000000005</v>
      </c>
      <c r="G21" s="21">
        <v>3164.096</v>
      </c>
      <c r="H21" s="21">
        <v>3297.3680000000004</v>
      </c>
      <c r="I21" s="21">
        <v>3430.6320000000001</v>
      </c>
      <c r="J21" s="21">
        <v>3563.9040000000005</v>
      </c>
      <c r="K21" s="21">
        <v>3697.1760000000004</v>
      </c>
      <c r="L21" s="21">
        <v>3830.4400000000005</v>
      </c>
      <c r="M21" s="21">
        <v>3963.7120000000004</v>
      </c>
      <c r="N21" s="21">
        <v>4096.9839999999995</v>
      </c>
      <c r="O21" s="21">
        <v>4230.2480000000005</v>
      </c>
    </row>
    <row r="22" spans="1:15" ht="16" customHeight="1" x14ac:dyDescent="0.25">
      <c r="A22" s="14" t="str">
        <f ca="1">IF(ISNA(VLOOKUP($B22,KeyAll,COLUMN(Key!$C$4),0))=TRUE,"No key!",VLOOKUP($B22,KeyAll,COLUMN(Key!$C$4),0))</f>
        <v>B-03G</v>
      </c>
      <c r="B22" s="14" t="s">
        <v>140</v>
      </c>
      <c r="C22" s="1" t="str">
        <f ca="1">IF(ISNA(VLOOKUP($B22,KeyAll,COLUMN(Key!$B$4),0))=TRUE,"No key!",VLOOKUP($B22,KeyAll,COLUMN(Key!$B$4),0))</f>
        <v>Software - Accum Amortization</v>
      </c>
      <c r="D22" s="21">
        <v>7807.5360000000001</v>
      </c>
      <c r="E22" s="21">
        <v>8145.5600000000013</v>
      </c>
      <c r="F22" s="21">
        <v>8483.5759999999991</v>
      </c>
      <c r="G22" s="21">
        <v>8821.6</v>
      </c>
      <c r="H22" s="21">
        <v>9159.616</v>
      </c>
      <c r="I22" s="21">
        <v>9497.6320000000014</v>
      </c>
      <c r="J22" s="21">
        <v>9835.6560000000009</v>
      </c>
      <c r="K22" s="21">
        <v>10173.672</v>
      </c>
      <c r="L22" s="21">
        <v>10511.688000000002</v>
      </c>
      <c r="M22" s="21">
        <v>10849.712</v>
      </c>
      <c r="N22" s="21">
        <v>11187.728000000001</v>
      </c>
      <c r="O22" s="21">
        <v>11525.744000000001</v>
      </c>
    </row>
    <row r="23" spans="1:15" ht="16" customHeight="1" x14ac:dyDescent="0.25">
      <c r="A23" s="14" t="str">
        <f ca="1">IF(ISNA(VLOOKUP($B23,KeyAll,COLUMN(Key!$C$4),0))=TRUE,"No key!",VLOOKUP($B23,KeyAll,COLUMN(Key!$C$4),0))</f>
        <v>B-04G</v>
      </c>
      <c r="B23" s="14" t="s">
        <v>142</v>
      </c>
      <c r="C23" s="1" t="str">
        <f ca="1">IF(ISNA(VLOOKUP($B23,KeyAll,COLUMN(Key!$B$4),0))=TRUE,"No key!",VLOOKUP($B23,KeyAll,COLUMN(Key!$B$4),0))</f>
        <v>Investments</v>
      </c>
      <c r="D23" s="21">
        <v>2993.2160000000003</v>
      </c>
      <c r="E23" s="21">
        <v>3070.6240000000003</v>
      </c>
      <c r="F23" s="21">
        <v>3148.0320000000002</v>
      </c>
      <c r="G23" s="21">
        <v>3225.4400000000005</v>
      </c>
      <c r="H23" s="21">
        <v>3302.84</v>
      </c>
      <c r="I23" s="21">
        <v>3380.2480000000005</v>
      </c>
      <c r="J23" s="21">
        <v>3457.6559999999999</v>
      </c>
      <c r="K23" s="21">
        <v>3535.056</v>
      </c>
      <c r="L23" s="21">
        <v>3612.4639999999999</v>
      </c>
      <c r="M23" s="21">
        <v>3689.8720000000003</v>
      </c>
      <c r="N23" s="21">
        <v>3767.2720000000004</v>
      </c>
      <c r="O23" s="21">
        <v>3844.6800000000003</v>
      </c>
    </row>
    <row r="24" spans="1:15" ht="16" customHeight="1" x14ac:dyDescent="0.25">
      <c r="A24" s="14" t="str">
        <f ca="1">IF(ISNA(VLOOKUP($B24,KeyAll,COLUMN(Key!$C$4),0))=TRUE,"No key!",VLOOKUP($B24,KeyAll,COLUMN(Key!$C$4),0))</f>
        <v>B-05G</v>
      </c>
      <c r="B24" s="14" t="s">
        <v>155</v>
      </c>
      <c r="C24" s="1" t="str">
        <f ca="1">IF(ISNA(VLOOKUP($B24,KeyAll,COLUMN(Key!$B$4),0))=TRUE,"No key!",VLOOKUP($B24,KeyAll,COLUMN(Key!$B$4),0))</f>
        <v>Loans &amp; Advances</v>
      </c>
      <c r="D24" s="21">
        <v>14947.728000000001</v>
      </c>
      <c r="E24" s="21">
        <v>15468.008</v>
      </c>
      <c r="F24" s="21">
        <v>15988.296</v>
      </c>
      <c r="G24" s="21">
        <v>16508.576000000001</v>
      </c>
      <c r="H24" s="21">
        <v>17028.864000000001</v>
      </c>
      <c r="I24" s="21">
        <v>17549.144</v>
      </c>
      <c r="J24" s="21">
        <v>18069.432000000001</v>
      </c>
      <c r="K24" s="21">
        <v>18589.712</v>
      </c>
      <c r="L24" s="21">
        <v>19110</v>
      </c>
      <c r="M24" s="21">
        <v>19630.28</v>
      </c>
      <c r="N24" s="21">
        <v>20150.560000000001</v>
      </c>
      <c r="O24" s="21">
        <v>20670.848000000002</v>
      </c>
    </row>
    <row r="25" spans="1:15" ht="16" customHeight="1" x14ac:dyDescent="0.25">
      <c r="A25" s="14" t="str">
        <f ca="1">IF(ISNA(VLOOKUP($B25,KeyAll,COLUMN(Key!$C$4),0))=TRUE,"No key!",VLOOKUP($B25,KeyAll,COLUMN(Key!$C$4),0))</f>
        <v>B-07G</v>
      </c>
      <c r="B25" s="14" t="s">
        <v>152</v>
      </c>
      <c r="C25" s="1" t="str">
        <f ca="1">IF(ISNA(VLOOKUP($B25,KeyAll,COLUMN(Key!$B$4),0))=TRUE,"No key!",VLOOKUP($B25,KeyAll,COLUMN(Key!$B$4),0))</f>
        <v>Cash On Hand</v>
      </c>
      <c r="D25" s="21">
        <v>6440.768</v>
      </c>
      <c r="E25" s="21">
        <v>6632.7440000000006</v>
      </c>
      <c r="F25" s="21">
        <v>6824.7280000000001</v>
      </c>
      <c r="G25" s="21">
        <v>7016.7039999999997</v>
      </c>
      <c r="H25" s="21">
        <v>7208.688000000001</v>
      </c>
      <c r="I25" s="21">
        <v>7400.6640000000007</v>
      </c>
      <c r="J25" s="21">
        <v>7592.6480000000001</v>
      </c>
      <c r="K25" s="21">
        <v>7784.6240000000007</v>
      </c>
      <c r="L25" s="21">
        <v>7976.6080000000002</v>
      </c>
      <c r="M25" s="21">
        <v>8168.5839999999998</v>
      </c>
      <c r="N25" s="21">
        <v>8360.5679999999993</v>
      </c>
      <c r="O25" s="21">
        <v>8552.5520000000015</v>
      </c>
    </row>
    <row r="26" spans="1:15" ht="16" customHeight="1" x14ac:dyDescent="0.25">
      <c r="A26" s="14" t="str">
        <f ca="1">IF(ISNA(VLOOKUP($B26,KeyAll,COLUMN(Key!$C$4),0))=TRUE,"No key!",VLOOKUP($B26,KeyAll,COLUMN(Key!$C$4),0))</f>
        <v>B-07G</v>
      </c>
      <c r="B26" s="14" t="s">
        <v>154</v>
      </c>
      <c r="C26" s="1" t="str">
        <f ca="1">IF(ISNA(VLOOKUP($B26,KeyAll,COLUMN(Key!$B$4),0))=TRUE,"No key!",VLOOKUP($B26,KeyAll,COLUMN(Key!$B$4),0))</f>
        <v>Cash Transfer Control</v>
      </c>
      <c r="D26" s="21">
        <v>4687.768</v>
      </c>
      <c r="E26" s="21">
        <v>4905.152</v>
      </c>
      <c r="F26" s="21">
        <v>5122.5440000000008</v>
      </c>
      <c r="G26" s="21">
        <v>5339.9279999999999</v>
      </c>
      <c r="H26" s="21">
        <v>5557.3120000000008</v>
      </c>
      <c r="I26" s="21">
        <v>5774.6959999999999</v>
      </c>
      <c r="J26" s="21">
        <v>5992.0800000000008</v>
      </c>
      <c r="K26" s="21">
        <v>6209.4639999999999</v>
      </c>
      <c r="L26" s="21">
        <v>6426.8480000000009</v>
      </c>
      <c r="M26" s="21">
        <v>6644.24</v>
      </c>
      <c r="N26" s="21">
        <v>6861.6240000000007</v>
      </c>
      <c r="O26" s="21">
        <v>7079.0080000000007</v>
      </c>
    </row>
    <row r="27" spans="1:15" ht="16" customHeight="1" x14ac:dyDescent="0.25">
      <c r="A27" s="14" t="str">
        <f ca="1">IF(ISNA(VLOOKUP($B27,KeyAll,COLUMN(Key!$C$4),0))=TRUE,"No key!",VLOOKUP($B27,KeyAll,COLUMN(Key!$C$4),0))</f>
        <v>B-09G</v>
      </c>
      <c r="B27" s="14" t="s">
        <v>157</v>
      </c>
      <c r="C27" s="1" t="str">
        <f ca="1">IF(ISNA(VLOOKUP($B27,KeyAll,COLUMN(Key!$B$4),0))=TRUE,"No key!",VLOOKUP($B27,KeyAll,COLUMN(Key!$B$4),0))</f>
        <v>Other Debtors</v>
      </c>
      <c r="D27" s="21">
        <v>8140.4800000000005</v>
      </c>
      <c r="E27" s="21">
        <v>8505.2800000000007</v>
      </c>
      <c r="F27" s="21">
        <v>8870.0880000000016</v>
      </c>
      <c r="G27" s="21">
        <v>9234.8880000000008</v>
      </c>
      <c r="H27" s="21">
        <v>9599.6960000000017</v>
      </c>
      <c r="I27" s="21">
        <v>9964.496000000001</v>
      </c>
      <c r="J27" s="21">
        <v>10329.304</v>
      </c>
      <c r="K27" s="21">
        <v>10694.103999999999</v>
      </c>
      <c r="L27" s="21">
        <v>11058.904</v>
      </c>
      <c r="M27" s="21">
        <v>11423.712</v>
      </c>
      <c r="N27" s="21">
        <v>11788.512000000001</v>
      </c>
      <c r="O27" s="21">
        <v>12153.32</v>
      </c>
    </row>
    <row r="28" spans="1:15" ht="16" customHeight="1" x14ac:dyDescent="0.25">
      <c r="A28" s="14" t="str">
        <f ca="1">IF(ISNA(VLOOKUP($B28,KeyAll,COLUMN(Key!$C$4),0))=TRUE,"No key!",VLOOKUP($B28,KeyAll,COLUMN(Key!$C$4),0))</f>
        <v>B-09G</v>
      </c>
      <c r="B28" s="14" t="s">
        <v>159</v>
      </c>
      <c r="C28" s="1" t="str">
        <f ca="1">IF(ISNA(VLOOKUP($B28,KeyAll,COLUMN(Key!$B$4),0))=TRUE,"No key!",VLOOKUP($B28,KeyAll,COLUMN(Key!$B$4),0))</f>
        <v>Prepayments</v>
      </c>
      <c r="D28" s="21">
        <v>3044.32</v>
      </c>
      <c r="E28" s="21">
        <v>3200.2000000000003</v>
      </c>
      <c r="F28" s="21">
        <v>3356.0800000000004</v>
      </c>
      <c r="G28" s="21">
        <v>3511.9680000000003</v>
      </c>
      <c r="H28" s="21">
        <v>3667.8480000000004</v>
      </c>
      <c r="I28" s="21">
        <v>3823.7280000000001</v>
      </c>
      <c r="J28" s="21">
        <v>3979.6080000000002</v>
      </c>
      <c r="K28" s="21">
        <v>4135.4880000000003</v>
      </c>
      <c r="L28" s="21">
        <v>4291.3760000000002</v>
      </c>
      <c r="M28" s="21">
        <v>4447.2560000000003</v>
      </c>
      <c r="N28" s="21">
        <v>4603.1360000000004</v>
      </c>
      <c r="O28" s="21">
        <v>4759.0160000000005</v>
      </c>
    </row>
    <row r="29" spans="1:15" ht="16" customHeight="1" x14ac:dyDescent="0.25">
      <c r="A29" s="14" t="str">
        <f ca="1">IF(ISNA(VLOOKUP($B29,KeyAll,COLUMN(Key!$C$4),0))=TRUE,"No key!",VLOOKUP($B29,KeyAll,COLUMN(Key!$C$4),0))</f>
        <v>B-13G</v>
      </c>
      <c r="B29" s="14" t="s">
        <v>164</v>
      </c>
      <c r="C29" s="1" t="str">
        <f ca="1">IF(ISNA(VLOOKUP($B29,KeyAll,COLUMN(Key!$B$4),0))=TRUE,"No key!",VLOOKUP($B29,KeyAll,COLUMN(Key!$B$4),0))</f>
        <v>Accruals</v>
      </c>
      <c r="D29" s="21">
        <v>12747.368</v>
      </c>
      <c r="E29" s="21">
        <v>13044.616000000002</v>
      </c>
      <c r="F29" s="21">
        <v>13341.864000000001</v>
      </c>
      <c r="G29" s="21">
        <v>13639.112000000001</v>
      </c>
      <c r="H29" s="21">
        <v>13936.36</v>
      </c>
      <c r="I29" s="21">
        <v>14233.608</v>
      </c>
      <c r="J29" s="21">
        <v>14530.856</v>
      </c>
      <c r="K29" s="21">
        <v>14828.104000000001</v>
      </c>
      <c r="L29" s="21">
        <v>15125.351999999999</v>
      </c>
      <c r="M29" s="21">
        <v>15422.6</v>
      </c>
      <c r="N29" s="21">
        <v>15719.856</v>
      </c>
      <c r="O29" s="21">
        <v>16017.104000000001</v>
      </c>
    </row>
    <row r="30" spans="1:15" ht="16" customHeight="1" x14ac:dyDescent="0.25">
      <c r="A30" s="14" t="str">
        <f ca="1">IF(ISNA(VLOOKUP($B30,KeyAll,COLUMN(Key!$C$4),0))=TRUE,"No key!",VLOOKUP($B30,KeyAll,COLUMN(Key!$C$4),0))</f>
        <v>B-13G</v>
      </c>
      <c r="B30" s="14" t="s">
        <v>166</v>
      </c>
      <c r="C30" s="1" t="str">
        <f ca="1">IF(ISNA(VLOOKUP($B30,KeyAll,COLUMN(Key!$B$4),0))=TRUE,"No key!",VLOOKUP($B30,KeyAll,COLUMN(Key!$B$4),0))</f>
        <v>Payroll Accruals</v>
      </c>
      <c r="D30" s="21">
        <v>19513.351999999999</v>
      </c>
      <c r="E30" s="21">
        <v>20486.696</v>
      </c>
      <c r="F30" s="21">
        <v>21460.048000000003</v>
      </c>
      <c r="G30" s="21">
        <v>22433.392000000003</v>
      </c>
      <c r="H30" s="21">
        <v>23406.736000000001</v>
      </c>
      <c r="I30" s="21">
        <v>24380.080000000002</v>
      </c>
      <c r="J30" s="21">
        <v>25353.423999999999</v>
      </c>
      <c r="K30" s="21">
        <v>26326.768</v>
      </c>
      <c r="L30" s="21">
        <v>27300.112000000001</v>
      </c>
      <c r="M30" s="21">
        <v>28273.464000000004</v>
      </c>
      <c r="N30" s="21">
        <v>29246.808000000005</v>
      </c>
      <c r="O30" s="21">
        <v>30220.152000000002</v>
      </c>
    </row>
    <row r="31" spans="1:15" ht="16" customHeight="1" x14ac:dyDescent="0.25">
      <c r="A31" s="14" t="str">
        <f ca="1">IF(ISNA(VLOOKUP($B31,KeyAll,COLUMN(Key!$C$4),0))=TRUE,"No key!",VLOOKUP($B31,KeyAll,COLUMN(Key!$C$4),0))</f>
        <v>B-13G</v>
      </c>
      <c r="B31" s="14" t="s">
        <v>168</v>
      </c>
      <c r="C31" s="1" t="str">
        <f ca="1">IF(ISNA(VLOOKUP($B31,KeyAll,COLUMN(Key!$B$4),0))=TRUE,"No key!",VLOOKUP($B31,KeyAll,COLUMN(Key!$B$4),0))</f>
        <v>Interest Payable</v>
      </c>
      <c r="D31" s="21">
        <v>7564.3919999999998</v>
      </c>
      <c r="E31" s="21">
        <v>8121.8080000000009</v>
      </c>
      <c r="F31" s="21">
        <v>8679.2240000000002</v>
      </c>
      <c r="G31" s="21">
        <v>9236.6479999999992</v>
      </c>
      <c r="H31" s="21">
        <v>9794.0640000000003</v>
      </c>
      <c r="I31" s="21">
        <v>10351.480000000001</v>
      </c>
      <c r="J31" s="21">
        <v>10908.896000000001</v>
      </c>
      <c r="K31" s="21">
        <v>11466.312</v>
      </c>
      <c r="L31" s="21">
        <v>12023.728000000001</v>
      </c>
      <c r="M31" s="21">
        <v>12581.152000000002</v>
      </c>
      <c r="N31" s="21">
        <v>13138.567999999999</v>
      </c>
      <c r="O31" s="21">
        <v>13695.984</v>
      </c>
    </row>
    <row r="32" spans="1:15" ht="16" customHeight="1" x14ac:dyDescent="0.25">
      <c r="A32" s="14" t="str">
        <f ca="1">IF(ISNA(VLOOKUP($B32,KeyAll,COLUMN(Key!$C$4),0))=TRUE,"No key!",VLOOKUP($B32,KeyAll,COLUMN(Key!$C$4),0))</f>
        <v>B-14G</v>
      </c>
      <c r="B32" s="14" t="s">
        <v>169</v>
      </c>
      <c r="C32" s="1" t="str">
        <f ca="1">IF(ISNA(VLOOKUP($B32,KeyAll,COLUMN(Key!$B$4),0))=TRUE,"No key!",VLOOKUP($B32,KeyAll,COLUMN(Key!$B$4),0))</f>
        <v>Dividends Payable</v>
      </c>
      <c r="D32" s="21">
        <v>5104.880000000001</v>
      </c>
      <c r="E32" s="21">
        <v>5489.344000000001</v>
      </c>
      <c r="F32" s="21">
        <v>5873.8</v>
      </c>
      <c r="G32" s="21">
        <v>6258.2640000000001</v>
      </c>
      <c r="H32" s="21">
        <v>6642.72</v>
      </c>
      <c r="I32" s="21">
        <v>7027.1840000000002</v>
      </c>
      <c r="J32" s="21">
        <v>7411.6480000000001</v>
      </c>
      <c r="K32" s="21">
        <v>7796.1039999999994</v>
      </c>
      <c r="L32" s="21">
        <v>8180.5679999999993</v>
      </c>
      <c r="M32" s="21">
        <v>8565.0320000000011</v>
      </c>
      <c r="N32" s="21">
        <v>8949.4880000000012</v>
      </c>
      <c r="O32" s="21">
        <v>9333.9520000000011</v>
      </c>
    </row>
    <row r="33" spans="1:15" ht="16" customHeight="1" x14ac:dyDescent="0.25">
      <c r="A33" s="14" t="str">
        <f ca="1">IF(ISNA(VLOOKUP($B33,KeyAll,COLUMN(Key!$C$4),0))=TRUE,"No key!",VLOOKUP($B33,KeyAll,COLUMN(Key!$C$4),0))</f>
        <v>B-15G</v>
      </c>
      <c r="B33" s="14" t="s">
        <v>171</v>
      </c>
      <c r="C33" s="1" t="str">
        <f ca="1">IF(ISNA(VLOOKUP($B33,KeyAll,COLUMN(Key!$B$4),0))=TRUE,"No key!",VLOOKUP($B33,KeyAll,COLUMN(Key!$B$4),0))</f>
        <v>Provision For Taxation</v>
      </c>
      <c r="D33" s="21">
        <v>5415.880000000001</v>
      </c>
      <c r="E33" s="21">
        <v>5544.880000000001</v>
      </c>
      <c r="F33" s="21">
        <v>5673.8879999999999</v>
      </c>
      <c r="G33" s="21">
        <v>5802.8879999999999</v>
      </c>
      <c r="H33" s="21">
        <v>5931.8879999999999</v>
      </c>
      <c r="I33" s="21">
        <v>6060.8879999999999</v>
      </c>
      <c r="J33" s="21">
        <v>6189.8960000000006</v>
      </c>
      <c r="K33" s="21">
        <v>6318.8960000000006</v>
      </c>
      <c r="L33" s="21">
        <v>6447.8960000000006</v>
      </c>
      <c r="M33" s="21">
        <v>6576.8960000000006</v>
      </c>
      <c r="N33" s="21">
        <v>6705.9039999999995</v>
      </c>
      <c r="O33" s="21">
        <v>6834.9039999999995</v>
      </c>
    </row>
    <row r="34" spans="1:15" ht="16" customHeight="1" x14ac:dyDescent="0.25">
      <c r="A34" s="14" t="str">
        <f ca="1">IF(ISNA(VLOOKUP($B34,KeyAll,COLUMN(Key!$C$4),0))=TRUE,"No key!",VLOOKUP($B34,KeyAll,COLUMN(Key!$C$4),0))</f>
        <v>B-16G</v>
      </c>
      <c r="B34" s="14" t="s">
        <v>174</v>
      </c>
      <c r="C34" s="1" t="str">
        <f ca="1">IF(ISNA(VLOOKUP($B34,KeyAll,COLUMN(Key!$B$4),0))=TRUE,"No key!",VLOOKUP($B34,KeyAll,COLUMN(Key!$B$4),0))</f>
        <v>Provision For Bonuses</v>
      </c>
      <c r="D34" s="21">
        <v>4723.6400000000003</v>
      </c>
      <c r="E34" s="21">
        <v>4863.6480000000001</v>
      </c>
      <c r="F34" s="21">
        <v>5003.6559999999999</v>
      </c>
      <c r="G34" s="21">
        <v>5143.6640000000007</v>
      </c>
      <c r="H34" s="21">
        <v>5283.6720000000005</v>
      </c>
      <c r="I34" s="21">
        <v>5423.68</v>
      </c>
      <c r="J34" s="21">
        <v>5563.6880000000001</v>
      </c>
      <c r="K34" s="21">
        <v>5703.6959999999999</v>
      </c>
      <c r="L34" s="21">
        <v>5843.7040000000006</v>
      </c>
      <c r="M34" s="21">
        <v>5983.7120000000004</v>
      </c>
      <c r="N34" s="21">
        <v>6123.72</v>
      </c>
      <c r="O34" s="21">
        <v>6263.7280000000001</v>
      </c>
    </row>
    <row r="35" spans="1:15" ht="16" customHeight="1" x14ac:dyDescent="0.25">
      <c r="A35" s="14" t="str">
        <f ca="1">IF(ISNA(VLOOKUP($B35,KeyAll,COLUMN(Key!$C$4),0))=TRUE,"No key!",VLOOKUP($B35,KeyAll,COLUMN(Key!$C$4),0))</f>
        <v>B-17G</v>
      </c>
      <c r="B35" s="14" t="s">
        <v>176</v>
      </c>
      <c r="C35" s="1" t="str">
        <f ca="1">IF(ISNA(VLOOKUP($B35,KeyAll,COLUMN(Key!$B$4),0))=TRUE,"No key!",VLOOKUP($B35,KeyAll,COLUMN(Key!$B$4),0))</f>
        <v>Sales Tax Control</v>
      </c>
      <c r="D35" s="21">
        <v>28437.671999999999</v>
      </c>
      <c r="E35" s="21">
        <v>29830.959999999999</v>
      </c>
      <c r="F35" s="21">
        <v>31224.248</v>
      </c>
      <c r="G35" s="21">
        <v>32617.536</v>
      </c>
      <c r="H35" s="21">
        <v>34010.824000000001</v>
      </c>
      <c r="I35" s="21">
        <v>35404.112000000001</v>
      </c>
      <c r="J35" s="21">
        <v>36797.4</v>
      </c>
      <c r="K35" s="21">
        <v>38190.688000000002</v>
      </c>
      <c r="L35" s="21">
        <v>39583.976000000002</v>
      </c>
      <c r="M35" s="21">
        <v>40977.264000000003</v>
      </c>
      <c r="N35" s="21">
        <v>42370.552000000003</v>
      </c>
      <c r="O35" s="21">
        <v>43763.840000000004</v>
      </c>
    </row>
    <row r="36" spans="1:15" ht="16" customHeight="1" x14ac:dyDescent="0.25">
      <c r="A36" s="14" t="str">
        <f ca="1">IF(ISNA(VLOOKUP($B36,KeyAll,COLUMN(Key!$C$4),0))=TRUE,"No key!",VLOOKUP($B36,KeyAll,COLUMN(Key!$C$4),0))</f>
        <v>B-18G</v>
      </c>
      <c r="B36" s="14" t="s">
        <v>178</v>
      </c>
      <c r="C36" s="1" t="str">
        <f ca="1">IF(ISNA(VLOOKUP($B36,KeyAll,COLUMN(Key!$B$4),0))=TRUE,"No key!",VLOOKUP($B36,KeyAll,COLUMN(Key!$B$4),0))</f>
        <v>Long Term Loans</v>
      </c>
      <c r="D36" s="21">
        <v>17259.8</v>
      </c>
      <c r="E36" s="21">
        <v>17795.784</v>
      </c>
      <c r="F36" s="21">
        <v>18331.768</v>
      </c>
      <c r="G36" s="21">
        <v>18867.752</v>
      </c>
      <c r="H36" s="21">
        <v>19403.736000000001</v>
      </c>
      <c r="I36" s="21">
        <v>19939.72</v>
      </c>
      <c r="J36" s="21">
        <v>20475.704000000002</v>
      </c>
      <c r="K36" s="21">
        <v>21011.688000000002</v>
      </c>
      <c r="L36" s="21">
        <v>21547.672000000002</v>
      </c>
      <c r="M36" s="21">
        <v>22083.656000000003</v>
      </c>
      <c r="N36" s="21">
        <v>22619.64</v>
      </c>
      <c r="O36" s="21">
        <v>23155.624</v>
      </c>
    </row>
    <row r="37" spans="1:15" ht="16" customHeight="1" x14ac:dyDescent="0.25">
      <c r="A37" s="14" t="str">
        <f ca="1">IF(ISNA(VLOOKUP($B37,KeyAll,COLUMN(Key!$C$4),0))=TRUE,"No key!",VLOOKUP($B37,KeyAll,COLUMN(Key!$C$4),0))</f>
        <v>B-19G</v>
      </c>
      <c r="B37" s="14" t="s">
        <v>180</v>
      </c>
      <c r="C37" s="1" t="str">
        <f ca="1">IF(ISNA(VLOOKUP($B37,KeyAll,COLUMN(Key!$B$4),0))=TRUE,"No key!",VLOOKUP($B37,KeyAll,COLUMN(Key!$B$4),0))</f>
        <v>Reserves</v>
      </c>
      <c r="D37" s="21">
        <v>2822.7280000000001</v>
      </c>
      <c r="E37" s="21">
        <v>2971.096</v>
      </c>
      <c r="F37" s="21">
        <v>3119.4639999999999</v>
      </c>
      <c r="G37" s="21">
        <v>3267.8320000000003</v>
      </c>
      <c r="H37" s="21">
        <v>3416.2000000000003</v>
      </c>
      <c r="I37" s="21">
        <v>3564.5680000000002</v>
      </c>
      <c r="J37" s="21">
        <v>3712.9360000000001</v>
      </c>
      <c r="K37" s="21">
        <v>3861.3040000000001</v>
      </c>
      <c r="L37" s="21">
        <v>4009.6720000000005</v>
      </c>
      <c r="M37" s="21">
        <v>4158.04</v>
      </c>
      <c r="N37" s="21">
        <v>4306.4080000000004</v>
      </c>
      <c r="O37" s="21">
        <v>4454.768</v>
      </c>
    </row>
    <row r="38" spans="1:15" ht="16" customHeight="1" x14ac:dyDescent="0.25">
      <c r="A38" s="14" t="str">
        <f ca="1">IF(ISNA(VLOOKUP($B38,KeyAll,COLUMN(Key!$C$4),0))=TRUE,"No key!",VLOOKUP($B38,KeyAll,COLUMN(Key!$C$4),0))</f>
        <v>B-20G</v>
      </c>
      <c r="B38" s="14" t="s">
        <v>181</v>
      </c>
      <c r="C38" s="1" t="str">
        <f ca="1">IF(ISNA(VLOOKUP($B38,KeyAll,COLUMN(Key!$B$4),0))=TRUE,"No key!",VLOOKUP($B38,KeyAll,COLUMN(Key!$B$4),0))</f>
        <v>Shareholders' Contributions</v>
      </c>
      <c r="D38" s="21">
        <v>1814.6560000000002</v>
      </c>
      <c r="E38" s="21">
        <v>1938.2880000000002</v>
      </c>
      <c r="F38" s="21">
        <v>2061.9279999999999</v>
      </c>
      <c r="G38" s="21">
        <v>2185.56</v>
      </c>
      <c r="H38" s="21">
        <v>2309.2000000000003</v>
      </c>
      <c r="I38" s="21">
        <v>2432.8319999999999</v>
      </c>
      <c r="J38" s="21">
        <v>2556.4720000000002</v>
      </c>
      <c r="K38" s="21">
        <v>2680.1040000000003</v>
      </c>
      <c r="L38" s="21">
        <v>2803.7440000000001</v>
      </c>
      <c r="M38" s="21">
        <v>2927.3760000000002</v>
      </c>
      <c r="N38" s="21">
        <v>3051.0080000000003</v>
      </c>
      <c r="O38" s="21">
        <v>3174.6480000000001</v>
      </c>
    </row>
    <row r="39" spans="1:15" ht="16" customHeight="1" x14ac:dyDescent="0.25">
      <c r="A39" s="14" t="str">
        <f ca="1">IF(ISNA(VLOOKUP($B39,KeyAll,COLUMN(Key!$C$4),0))=TRUE,"No key!",VLOOKUP($B39,KeyAll,COLUMN(Key!$C$4),0))</f>
        <v>I-01G</v>
      </c>
      <c r="B39" s="14" t="s">
        <v>184</v>
      </c>
      <c r="C39" s="1" t="str">
        <f ca="1">IF(ISNA(VLOOKUP($B39,KeyAll,COLUMN(Key!$B$4),0))=TRUE,"No key!",VLOOKUP($B39,KeyAll,COLUMN(Key!$B$4),0))</f>
        <v>Sales - Fruit Juice</v>
      </c>
      <c r="D39" s="21">
        <v>18385.624</v>
      </c>
      <c r="E39" s="21">
        <v>20207.304000000004</v>
      </c>
      <c r="F39" s="21">
        <v>22028.992000000002</v>
      </c>
      <c r="G39" s="21">
        <v>23850.68</v>
      </c>
      <c r="H39" s="21">
        <v>25672.36</v>
      </c>
      <c r="I39" s="21">
        <v>27494.047999999999</v>
      </c>
      <c r="J39" s="21">
        <v>29315.736000000001</v>
      </c>
      <c r="K39" s="21">
        <v>31137.423999999999</v>
      </c>
      <c r="L39" s="21">
        <v>32959.103999999999</v>
      </c>
      <c r="M39" s="21">
        <v>34780.792000000001</v>
      </c>
      <c r="N39" s="21">
        <v>36602.480000000003</v>
      </c>
      <c r="O39" s="21">
        <v>38424.159999999996</v>
      </c>
    </row>
    <row r="40" spans="1:15" ht="16" customHeight="1" x14ac:dyDescent="0.25">
      <c r="A40" s="14" t="str">
        <f ca="1">IF(ISNA(VLOOKUP($B40,KeyAll,COLUMN(Key!$C$4),0))=TRUE,"No key!",VLOOKUP($B40,KeyAll,COLUMN(Key!$C$4),0))</f>
        <v>I-01G</v>
      </c>
      <c r="B40" s="14" t="s">
        <v>186</v>
      </c>
      <c r="C40" s="1" t="str">
        <f ca="1">IF(ISNA(VLOOKUP($B40,KeyAll,COLUMN(Key!$B$4),0))=TRUE,"No key!",VLOOKUP($B40,KeyAll,COLUMN(Key!$B$4),0))</f>
        <v>Sales - Vegetable Juice</v>
      </c>
      <c r="D40" s="21">
        <v>40711.832000000002</v>
      </c>
      <c r="E40" s="21">
        <v>42499.496000000006</v>
      </c>
      <c r="F40" s="21">
        <v>44287.152000000002</v>
      </c>
      <c r="G40" s="21">
        <v>46074.815999999999</v>
      </c>
      <c r="H40" s="21">
        <v>47862.472000000002</v>
      </c>
      <c r="I40" s="21">
        <v>49650.135999999999</v>
      </c>
      <c r="J40" s="21">
        <v>51437.792000000001</v>
      </c>
      <c r="K40" s="21">
        <v>53225.456000000006</v>
      </c>
      <c r="L40" s="21">
        <v>55013.119999999995</v>
      </c>
      <c r="M40" s="21">
        <v>56800.776000000005</v>
      </c>
      <c r="N40" s="21">
        <v>58588.44</v>
      </c>
      <c r="O40" s="21">
        <v>60376.095999999998</v>
      </c>
    </row>
    <row r="41" spans="1:15" ht="16" customHeight="1" x14ac:dyDescent="0.25">
      <c r="A41" s="14" t="str">
        <f ca="1">IF(ISNA(VLOOKUP($B41,KeyAll,COLUMN(Key!$C$4),0))=TRUE,"No key!",VLOOKUP($B41,KeyAll,COLUMN(Key!$C$4),0))</f>
        <v>I-02G</v>
      </c>
      <c r="B41" s="14" t="s">
        <v>188</v>
      </c>
      <c r="C41" s="1" t="str">
        <f ca="1">IF(ISNA(VLOOKUP($B41,KeyAll,COLUMN(Key!$B$4),0))=TRUE,"No key!",VLOOKUP($B41,KeyAll,COLUMN(Key!$B$4),0))</f>
        <v>Cost of Sales - Fruit Juice</v>
      </c>
      <c r="D41" s="21">
        <v>16176.704000000002</v>
      </c>
      <c r="E41" s="21">
        <v>17585.416000000001</v>
      </c>
      <c r="F41" s="21">
        <v>18994.120000000003</v>
      </c>
      <c r="G41" s="21">
        <v>20402.824000000001</v>
      </c>
      <c r="H41" s="21">
        <v>21811.528000000002</v>
      </c>
      <c r="I41" s="21">
        <v>23220.232000000004</v>
      </c>
      <c r="J41" s="21">
        <v>24628.936000000002</v>
      </c>
      <c r="K41" s="21">
        <v>26037.64</v>
      </c>
      <c r="L41" s="21">
        <v>27446.344000000001</v>
      </c>
      <c r="M41" s="21">
        <v>28855.056</v>
      </c>
      <c r="N41" s="21">
        <v>30263.759999999998</v>
      </c>
      <c r="O41" s="21">
        <v>31672.464000000004</v>
      </c>
    </row>
    <row r="42" spans="1:15" ht="16" customHeight="1" x14ac:dyDescent="0.25">
      <c r="A42" s="14" t="str">
        <f ca="1">IF(ISNA(VLOOKUP($B42,KeyAll,COLUMN(Key!$C$4),0))=TRUE,"No key!",VLOOKUP($B42,KeyAll,COLUMN(Key!$C$4),0))</f>
        <v>I-02G</v>
      </c>
      <c r="B42" s="14" t="s">
        <v>190</v>
      </c>
      <c r="C42" s="1" t="str">
        <f ca="1">IF(ISNA(VLOOKUP($B42,KeyAll,COLUMN(Key!$B$4),0))=TRUE,"No key!",VLOOKUP($B42,KeyAll,COLUMN(Key!$B$4),0))</f>
        <v>Cost of Sales - Vegetable Juice</v>
      </c>
      <c r="D42" s="21">
        <v>38619.432000000001</v>
      </c>
      <c r="E42" s="21">
        <v>41748.784000000007</v>
      </c>
      <c r="F42" s="21">
        <v>44878.135999999999</v>
      </c>
      <c r="G42" s="21">
        <v>48007.488000000005</v>
      </c>
      <c r="H42" s="21">
        <v>51136.840000000004</v>
      </c>
      <c r="I42" s="21">
        <v>54266.19200000001</v>
      </c>
      <c r="J42" s="21">
        <v>57395.552000000003</v>
      </c>
      <c r="K42" s="21">
        <v>60524.90400000001</v>
      </c>
      <c r="L42" s="21">
        <v>63654.256000000008</v>
      </c>
      <c r="M42" s="21">
        <v>66783.607999999993</v>
      </c>
      <c r="N42" s="21">
        <v>69912.960000000006</v>
      </c>
      <c r="O42" s="21">
        <v>73042.312000000005</v>
      </c>
    </row>
    <row r="43" spans="1:15" ht="16" customHeight="1" x14ac:dyDescent="0.25">
      <c r="A43" s="14" t="str">
        <f ca="1">IF(ISNA(VLOOKUP($B43,KeyAll,COLUMN(Key!$C$4),0))=TRUE,"No key!",VLOOKUP($B43,KeyAll,COLUMN(Key!$C$4),0))</f>
        <v>I-02G</v>
      </c>
      <c r="B43" s="14" t="s">
        <v>192</v>
      </c>
      <c r="C43" s="1" t="str">
        <f ca="1">IF(ISNA(VLOOKUP($B43,KeyAll,COLUMN(Key!$B$4),0))=TRUE,"No key!",VLOOKUP($B43,KeyAll,COLUMN(Key!$B$4),0))</f>
        <v>Cost of Sales - Direct Costs</v>
      </c>
      <c r="D43" s="21">
        <v>40680.648000000001</v>
      </c>
      <c r="E43" s="21">
        <v>42111.920000000006</v>
      </c>
      <c r="F43" s="21">
        <v>43543.200000000004</v>
      </c>
      <c r="G43" s="21">
        <v>44974.472000000002</v>
      </c>
      <c r="H43" s="21">
        <v>46405.744000000006</v>
      </c>
      <c r="I43" s="21">
        <v>47837.016000000003</v>
      </c>
      <c r="J43" s="21">
        <v>49268.288</v>
      </c>
      <c r="K43" s="21">
        <v>50699.56</v>
      </c>
      <c r="L43" s="21">
        <v>52130.832000000002</v>
      </c>
      <c r="M43" s="21">
        <v>53562.104000000007</v>
      </c>
      <c r="N43" s="21">
        <v>54993.376000000004</v>
      </c>
      <c r="O43" s="21">
        <v>56424.648000000001</v>
      </c>
    </row>
    <row r="44" spans="1:15" ht="16" customHeight="1" x14ac:dyDescent="0.25">
      <c r="A44" s="14" t="str">
        <f ca="1">IF(ISNA(VLOOKUP($B44,KeyAll,COLUMN(Key!$C$4),0))=TRUE,"No key!",VLOOKUP($B44,KeyAll,COLUMN(Key!$C$4),0))</f>
        <v>I-0301G</v>
      </c>
      <c r="B44" s="14" t="s">
        <v>205</v>
      </c>
      <c r="C44" s="1" t="str">
        <f ca="1">IF(ISNA(VLOOKUP($B44,KeyAll,COLUMN(Key!$B$4),0))=TRUE,"No key!",VLOOKUP($B44,KeyAll,COLUMN(Key!$B$4),0))</f>
        <v>Accounting Fees</v>
      </c>
      <c r="D44" s="21">
        <v>3380.9519999999998</v>
      </c>
      <c r="E44" s="21">
        <v>3472.0800000000004</v>
      </c>
      <c r="F44" s="21">
        <v>3563.2000000000003</v>
      </c>
      <c r="G44" s="21">
        <v>3654.328</v>
      </c>
      <c r="H44" s="21">
        <v>3745.4480000000003</v>
      </c>
      <c r="I44" s="21">
        <v>3836.5760000000005</v>
      </c>
      <c r="J44" s="21">
        <v>3927.6959999999999</v>
      </c>
      <c r="K44" s="21">
        <v>4018.8240000000001</v>
      </c>
      <c r="L44" s="21">
        <v>4109.9440000000004</v>
      </c>
      <c r="M44" s="21">
        <v>4201.0720000000001</v>
      </c>
      <c r="N44" s="21">
        <v>4292.192</v>
      </c>
      <c r="O44" s="21">
        <v>4383.32</v>
      </c>
    </row>
    <row r="45" spans="1:15" ht="16" customHeight="1" x14ac:dyDescent="0.25">
      <c r="A45" s="14" t="str">
        <f ca="1">IF(ISNA(VLOOKUP($B45,KeyAll,COLUMN(Key!$C$4),0))=TRUE,"No key!",VLOOKUP($B45,KeyAll,COLUMN(Key!$C$4),0))</f>
        <v>I-0302G</v>
      </c>
      <c r="B45" s="14" t="s">
        <v>206</v>
      </c>
      <c r="C45" s="1" t="str">
        <f ca="1">IF(ISNA(VLOOKUP($B45,KeyAll,COLUMN(Key!$B$4),0))=TRUE,"No key!",VLOOKUP($B45,KeyAll,COLUMN(Key!$B$4),0))</f>
        <v>Advertising &amp; Marketing</v>
      </c>
      <c r="D45" s="21">
        <v>7014.344000000001</v>
      </c>
      <c r="E45" s="21">
        <v>7416.9520000000011</v>
      </c>
      <c r="F45" s="21">
        <v>7819.5600000000013</v>
      </c>
      <c r="G45" s="21">
        <v>8222.1679999999997</v>
      </c>
      <c r="H45" s="21">
        <v>8624.7759999999998</v>
      </c>
      <c r="I45" s="21">
        <v>9027.384</v>
      </c>
      <c r="J45" s="21">
        <v>9430</v>
      </c>
      <c r="K45" s="21">
        <v>9832.6080000000002</v>
      </c>
      <c r="L45" s="21">
        <v>10235.216</v>
      </c>
      <c r="M45" s="21">
        <v>10637.824000000001</v>
      </c>
      <c r="N45" s="21">
        <v>11040.432000000001</v>
      </c>
      <c r="O45" s="21">
        <v>11443.04</v>
      </c>
    </row>
    <row r="46" spans="1:15" ht="16" customHeight="1" x14ac:dyDescent="0.25">
      <c r="A46" s="14" t="str">
        <f ca="1">IF(ISNA(VLOOKUP($B46,KeyAll,COLUMN(Key!$C$4),0))=TRUE,"No key!",VLOOKUP($B46,KeyAll,COLUMN(Key!$C$4),0))</f>
        <v>I-0303G</v>
      </c>
      <c r="B46" s="14" t="s">
        <v>207</v>
      </c>
      <c r="C46" s="1" t="str">
        <f ca="1">IF(ISNA(VLOOKUP($B46,KeyAll,COLUMN(Key!$B$4),0))=TRUE,"No key!",VLOOKUP($B46,KeyAll,COLUMN(Key!$B$4),0))</f>
        <v>Bank Charges</v>
      </c>
      <c r="D46" s="21">
        <v>10617.960000000001</v>
      </c>
      <c r="E46" s="21">
        <v>10751.136</v>
      </c>
      <c r="F46" s="21">
        <v>10884.312</v>
      </c>
      <c r="G46" s="21">
        <v>11017.480000000001</v>
      </c>
      <c r="H46" s="21">
        <v>11150.656000000001</v>
      </c>
      <c r="I46" s="21">
        <v>11283.832000000002</v>
      </c>
      <c r="J46" s="21">
        <v>11417.008000000002</v>
      </c>
      <c r="K46" s="21">
        <v>11550.175999999999</v>
      </c>
      <c r="L46" s="21">
        <v>11683.352000000001</v>
      </c>
      <c r="M46" s="21">
        <v>11816.528</v>
      </c>
      <c r="N46" s="21">
        <v>11949.704</v>
      </c>
      <c r="O46" s="21">
        <v>12082.872000000001</v>
      </c>
    </row>
    <row r="47" spans="1:15" ht="16" customHeight="1" x14ac:dyDescent="0.25">
      <c r="A47" s="14" t="str">
        <f ca="1">IF(ISNA(VLOOKUP($B47,KeyAll,COLUMN(Key!$C$4),0))=TRUE,"No key!",VLOOKUP($B47,KeyAll,COLUMN(Key!$C$4),0))</f>
        <v>I-0304G</v>
      </c>
      <c r="B47" s="14" t="s">
        <v>208</v>
      </c>
      <c r="C47" s="1" t="str">
        <f ca="1">IF(ISNA(VLOOKUP($B47,KeyAll,COLUMN(Key!$B$4),0))=TRUE,"No key!",VLOOKUP($B47,KeyAll,COLUMN(Key!$B$4),0))</f>
        <v>Commission</v>
      </c>
      <c r="D47" s="21">
        <v>3039.0720000000001</v>
      </c>
      <c r="E47" s="21">
        <v>3159.152</v>
      </c>
      <c r="F47" s="21">
        <v>3279.2240000000002</v>
      </c>
      <c r="G47" s="21">
        <v>3399.3040000000001</v>
      </c>
      <c r="H47" s="21">
        <v>3519.3760000000002</v>
      </c>
      <c r="I47" s="21">
        <v>3639.4560000000001</v>
      </c>
      <c r="J47" s="21">
        <v>3759.5360000000001</v>
      </c>
      <c r="K47" s="21">
        <v>3879.6080000000002</v>
      </c>
      <c r="L47" s="21">
        <v>3999.6880000000001</v>
      </c>
      <c r="M47" s="21">
        <v>4119.76</v>
      </c>
      <c r="N47" s="21">
        <v>4239.84</v>
      </c>
      <c r="O47" s="21">
        <v>4359.92</v>
      </c>
    </row>
    <row r="48" spans="1:15" ht="16" customHeight="1" x14ac:dyDescent="0.25">
      <c r="A48" s="14" t="str">
        <f ca="1">IF(ISNA(VLOOKUP($B48,KeyAll,COLUMN(Key!$C$4),0))=TRUE,"No key!",VLOOKUP($B48,KeyAll,COLUMN(Key!$C$4),0))</f>
        <v>I-0305G</v>
      </c>
      <c r="B48" s="14" t="s">
        <v>209</v>
      </c>
      <c r="C48" s="1" t="str">
        <f ca="1">IF(ISNA(VLOOKUP($B48,KeyAll,COLUMN(Key!$B$4),0))=TRUE,"No key!",VLOOKUP($B48,KeyAll,COLUMN(Key!$B$4),0))</f>
        <v>Computer Expenses</v>
      </c>
      <c r="D48" s="21">
        <v>6053.1680000000006</v>
      </c>
      <c r="E48" s="21">
        <v>6405.7839999999997</v>
      </c>
      <c r="F48" s="21">
        <v>6758.4000000000005</v>
      </c>
      <c r="G48" s="21">
        <v>7111.0160000000005</v>
      </c>
      <c r="H48" s="21">
        <v>7463.6320000000014</v>
      </c>
      <c r="I48" s="21">
        <v>7816.2560000000003</v>
      </c>
      <c r="J48" s="21">
        <v>8168.8720000000003</v>
      </c>
      <c r="K48" s="21">
        <v>8521.4880000000012</v>
      </c>
      <c r="L48" s="21">
        <v>8874.1039999999994</v>
      </c>
      <c r="M48" s="21">
        <v>9226.7199999999993</v>
      </c>
      <c r="N48" s="21">
        <v>9579.344000000001</v>
      </c>
      <c r="O48" s="21">
        <v>9931.9600000000009</v>
      </c>
    </row>
    <row r="49" spans="1:15" ht="16" customHeight="1" x14ac:dyDescent="0.25">
      <c r="A49" s="14" t="str">
        <f ca="1">IF(ISNA(VLOOKUP($B49,KeyAll,COLUMN(Key!$C$4),0))=TRUE,"No key!",VLOOKUP($B49,KeyAll,COLUMN(Key!$C$4),0))</f>
        <v>I-0306G</v>
      </c>
      <c r="B49" s="14" t="s">
        <v>210</v>
      </c>
      <c r="C49" s="1" t="str">
        <f ca="1">IF(ISNA(VLOOKUP($B49,KeyAll,COLUMN(Key!$B$4),0))=TRUE,"No key!",VLOOKUP($B49,KeyAll,COLUMN(Key!$B$4),0))</f>
        <v>Consumables &amp; Cleaning</v>
      </c>
      <c r="D49" s="21">
        <v>7187.9279999999999</v>
      </c>
      <c r="E49" s="21">
        <v>7535.344000000001</v>
      </c>
      <c r="F49" s="21">
        <v>7882.7600000000011</v>
      </c>
      <c r="G49" s="21">
        <v>8230.1759999999995</v>
      </c>
      <c r="H49" s="21">
        <v>8577.5840000000007</v>
      </c>
      <c r="I49" s="21">
        <v>8925</v>
      </c>
      <c r="J49" s="21">
        <v>9272.4160000000011</v>
      </c>
      <c r="K49" s="21">
        <v>9619.8240000000005</v>
      </c>
      <c r="L49" s="21">
        <v>9967.24</v>
      </c>
      <c r="M49" s="21">
        <v>10314.656000000001</v>
      </c>
      <c r="N49" s="21">
        <v>10662.064</v>
      </c>
      <c r="O49" s="21">
        <v>11009.480000000001</v>
      </c>
    </row>
    <row r="50" spans="1:15" ht="16" customHeight="1" x14ac:dyDescent="0.25">
      <c r="A50" s="14" t="str">
        <f ca="1">IF(ISNA(VLOOKUP($B50,KeyAll,COLUMN(Key!$C$4),0))=TRUE,"No key!",VLOOKUP($B50,KeyAll,COLUMN(Key!$C$4),0))</f>
        <v>I-0307G</v>
      </c>
      <c r="B50" s="14" t="s">
        <v>211</v>
      </c>
      <c r="C50" s="1" t="str">
        <f ca="1">IF(ISNA(VLOOKUP($B50,KeyAll,COLUMN(Key!$B$4),0))=TRUE,"No key!",VLOOKUP($B50,KeyAll,COLUMN(Key!$B$4),0))</f>
        <v>Entertainment</v>
      </c>
      <c r="D50" s="21">
        <v>1661.08</v>
      </c>
      <c r="E50" s="21">
        <v>1765.384</v>
      </c>
      <c r="F50" s="21">
        <v>1869.6959999999999</v>
      </c>
      <c r="G50" s="21">
        <v>1974</v>
      </c>
      <c r="H50" s="21">
        <v>2078.3040000000001</v>
      </c>
      <c r="I50" s="21">
        <v>2182.616</v>
      </c>
      <c r="J50" s="21">
        <v>2286.92</v>
      </c>
      <c r="K50" s="21">
        <v>2391.2240000000002</v>
      </c>
      <c r="L50" s="21">
        <v>2495.5360000000001</v>
      </c>
      <c r="M50" s="21">
        <v>2599.84</v>
      </c>
      <c r="N50" s="21">
        <v>2704.1440000000002</v>
      </c>
      <c r="O50" s="21">
        <v>2808.4560000000001</v>
      </c>
    </row>
    <row r="51" spans="1:15" ht="16" customHeight="1" x14ac:dyDescent="0.25">
      <c r="A51" s="14" t="str">
        <f ca="1">IF(ISNA(VLOOKUP($B51,KeyAll,COLUMN(Key!$C$4),0))=TRUE,"No key!",VLOOKUP($B51,KeyAll,COLUMN(Key!$C$4),0))</f>
        <v>I-0308G</v>
      </c>
      <c r="B51" s="14" t="s">
        <v>212</v>
      </c>
      <c r="C51" s="1" t="str">
        <f ca="1">IF(ISNA(VLOOKUP($B51,KeyAll,COLUMN(Key!$B$4),0))=TRUE,"No key!",VLOOKUP($B51,KeyAll,COLUMN(Key!$B$4),0))</f>
        <v>Insurance</v>
      </c>
      <c r="D51" s="21">
        <v>6277.6559999999999</v>
      </c>
      <c r="E51" s="21">
        <v>6614.6160000000009</v>
      </c>
      <c r="F51" s="21">
        <v>6951.576</v>
      </c>
      <c r="G51" s="21">
        <v>7288.5440000000008</v>
      </c>
      <c r="H51" s="21">
        <v>7625.5039999999999</v>
      </c>
      <c r="I51" s="21">
        <v>7962.4720000000007</v>
      </c>
      <c r="J51" s="21">
        <v>8299.4320000000007</v>
      </c>
      <c r="K51" s="21">
        <v>8636.3919999999998</v>
      </c>
      <c r="L51" s="21">
        <v>8973.36</v>
      </c>
      <c r="M51" s="21">
        <v>9310.32</v>
      </c>
      <c r="N51" s="21">
        <v>9647.2880000000005</v>
      </c>
      <c r="O51" s="21">
        <v>9984.2479999999996</v>
      </c>
    </row>
    <row r="52" spans="1:15" ht="16" customHeight="1" x14ac:dyDescent="0.25">
      <c r="A52" s="14" t="str">
        <f ca="1">IF(ISNA(VLOOKUP($B52,KeyAll,COLUMN(Key!$C$4),0))=TRUE,"No key!",VLOOKUP($B52,KeyAll,COLUMN(Key!$C$4),0))</f>
        <v>I-0309G</v>
      </c>
      <c r="B52" s="14" t="s">
        <v>213</v>
      </c>
      <c r="C52" s="1" t="str">
        <f ca="1">IF(ISNA(VLOOKUP($B52,KeyAll,COLUMN(Key!$B$4),0))=TRUE,"No key!",VLOOKUP($B52,KeyAll,COLUMN(Key!$B$4),0))</f>
        <v>Office Expenses</v>
      </c>
      <c r="D52" s="21">
        <v>6350.96</v>
      </c>
      <c r="E52" s="21">
        <v>6666.1440000000002</v>
      </c>
      <c r="F52" s="21">
        <v>6981.3280000000004</v>
      </c>
      <c r="G52" s="21">
        <v>7296.5119999999997</v>
      </c>
      <c r="H52" s="21">
        <v>7611.6960000000008</v>
      </c>
      <c r="I52" s="21">
        <v>7926.880000000001</v>
      </c>
      <c r="J52" s="21">
        <v>8242.0640000000003</v>
      </c>
      <c r="K52" s="21">
        <v>8557.2479999999996</v>
      </c>
      <c r="L52" s="21">
        <v>8872.4320000000007</v>
      </c>
      <c r="M52" s="21">
        <v>9187.616</v>
      </c>
      <c r="N52" s="21">
        <v>9502.8000000000011</v>
      </c>
      <c r="O52" s="21">
        <v>9817.9840000000004</v>
      </c>
    </row>
    <row r="53" spans="1:15" ht="16" customHeight="1" x14ac:dyDescent="0.25">
      <c r="A53" s="14" t="str">
        <f ca="1">IF(ISNA(VLOOKUP($B53,KeyAll,COLUMN(Key!$C$4),0))=TRUE,"No key!",VLOOKUP($B53,KeyAll,COLUMN(Key!$C$4),0))</f>
        <v>I-0310G</v>
      </c>
      <c r="B53" s="14" t="s">
        <v>214</v>
      </c>
      <c r="C53" s="1" t="str">
        <f ca="1">IF(ISNA(VLOOKUP($B53,KeyAll,COLUMN(Key!$B$4),0))=TRUE,"No key!",VLOOKUP($B53,KeyAll,COLUMN(Key!$B$4),0))</f>
        <v>Office Rent</v>
      </c>
      <c r="D53" s="21">
        <v>13509.168</v>
      </c>
      <c r="E53" s="21">
        <v>13817.528</v>
      </c>
      <c r="F53" s="21">
        <v>14125.896000000001</v>
      </c>
      <c r="G53" s="21">
        <v>14434.256000000001</v>
      </c>
      <c r="H53" s="21">
        <v>14742.616000000002</v>
      </c>
      <c r="I53" s="21">
        <v>15050.984</v>
      </c>
      <c r="J53" s="21">
        <v>15359.344000000001</v>
      </c>
      <c r="K53" s="21">
        <v>15667.712</v>
      </c>
      <c r="L53" s="21">
        <v>15976.072</v>
      </c>
      <c r="M53" s="21">
        <v>16284.44</v>
      </c>
      <c r="N53" s="21">
        <v>16592.8</v>
      </c>
      <c r="O53" s="21">
        <v>16901.16</v>
      </c>
    </row>
    <row r="54" spans="1:15" ht="16" customHeight="1" x14ac:dyDescent="0.25">
      <c r="A54" s="14" t="str">
        <f ca="1">IF(ISNA(VLOOKUP($B54,KeyAll,COLUMN(Key!$C$4),0))=TRUE,"No key!",VLOOKUP($B54,KeyAll,COLUMN(Key!$C$4),0))</f>
        <v>I-0311G</v>
      </c>
      <c r="B54" s="14" t="s">
        <v>215</v>
      </c>
      <c r="C54" s="1" t="str">
        <f ca="1">IF(ISNA(VLOOKUP($B54,KeyAll,COLUMN(Key!$B$4),0))=TRUE,"No key!",VLOOKUP($B54,KeyAll,COLUMN(Key!$B$4),0))</f>
        <v>Postage</v>
      </c>
      <c r="D54" s="21">
        <v>983.01600000000008</v>
      </c>
      <c r="E54" s="21">
        <v>1009.04</v>
      </c>
      <c r="F54" s="21">
        <v>1035.0640000000001</v>
      </c>
      <c r="G54" s="21">
        <v>1061.088</v>
      </c>
      <c r="H54" s="21">
        <v>1087.1120000000001</v>
      </c>
      <c r="I54" s="21">
        <v>1113.1360000000002</v>
      </c>
      <c r="J54" s="21">
        <v>1139.1600000000001</v>
      </c>
      <c r="K54" s="21">
        <v>1165.184</v>
      </c>
      <c r="L54" s="21">
        <v>1191.2080000000001</v>
      </c>
      <c r="M54" s="21">
        <v>1217.232</v>
      </c>
      <c r="N54" s="21">
        <v>1243.2560000000001</v>
      </c>
      <c r="O54" s="21">
        <v>1269.28</v>
      </c>
    </row>
    <row r="55" spans="1:15" ht="16" customHeight="1" x14ac:dyDescent="0.25">
      <c r="A55" s="14" t="str">
        <f ca="1">IF(ISNA(VLOOKUP($B55,KeyAll,COLUMN(Key!$C$4),0))=TRUE,"No key!",VLOOKUP($B55,KeyAll,COLUMN(Key!$C$4),0))</f>
        <v>I-0312G</v>
      </c>
      <c r="B55" s="14" t="s">
        <v>216</v>
      </c>
      <c r="C55" s="1" t="str">
        <f ca="1">IF(ISNA(VLOOKUP($B55,KeyAll,COLUMN(Key!$B$4),0))=TRUE,"No key!",VLOOKUP($B55,KeyAll,COLUMN(Key!$B$4),0))</f>
        <v>Professional &amp; Legal Fees</v>
      </c>
      <c r="D55" s="21">
        <v>1026.288</v>
      </c>
      <c r="E55" s="21">
        <v>1086.008</v>
      </c>
      <c r="F55" s="21">
        <v>1145.72</v>
      </c>
      <c r="G55" s="21">
        <v>1205.432</v>
      </c>
      <c r="H55" s="21">
        <v>1265.1440000000002</v>
      </c>
      <c r="I55" s="21">
        <v>1324.864</v>
      </c>
      <c r="J55" s="21">
        <v>1384.576</v>
      </c>
      <c r="K55" s="21">
        <v>1444.288</v>
      </c>
      <c r="L55" s="21">
        <v>1504.008</v>
      </c>
      <c r="M55" s="21">
        <v>1563.7200000000003</v>
      </c>
      <c r="N55" s="21">
        <v>1623.432</v>
      </c>
      <c r="O55" s="21">
        <v>1683.144</v>
      </c>
    </row>
    <row r="56" spans="1:15" ht="16" customHeight="1" x14ac:dyDescent="0.25">
      <c r="A56" s="14" t="str">
        <f ca="1">IF(ISNA(VLOOKUP($B56,KeyAll,COLUMN(Key!$C$4),0))=TRUE,"No key!",VLOOKUP($B56,KeyAll,COLUMN(Key!$C$4),0))</f>
        <v>I-0313G</v>
      </c>
      <c r="B56" s="14" t="s">
        <v>217</v>
      </c>
      <c r="C56" s="1" t="str">
        <f ca="1">IF(ISNA(VLOOKUP($B56,KeyAll,COLUMN(Key!$B$4),0))=TRUE,"No key!",VLOOKUP($B56,KeyAll,COLUMN(Key!$B$4),0))</f>
        <v>Stationery</v>
      </c>
      <c r="D56" s="21">
        <v>3063.36</v>
      </c>
      <c r="E56" s="21">
        <v>3218.1040000000003</v>
      </c>
      <c r="F56" s="21">
        <v>3372.8480000000004</v>
      </c>
      <c r="G56" s="21">
        <v>3527.5920000000001</v>
      </c>
      <c r="H56" s="21">
        <v>3682.3360000000002</v>
      </c>
      <c r="I56" s="21">
        <v>3837.0800000000004</v>
      </c>
      <c r="J56" s="21">
        <v>3991.8240000000001</v>
      </c>
      <c r="K56" s="21">
        <v>4146.5680000000002</v>
      </c>
      <c r="L56" s="21">
        <v>4301.3120000000008</v>
      </c>
      <c r="M56" s="21">
        <v>4456.0559999999996</v>
      </c>
      <c r="N56" s="21">
        <v>4610.8</v>
      </c>
      <c r="O56" s="21">
        <v>4765.5440000000008</v>
      </c>
    </row>
    <row r="57" spans="1:15" ht="16" customHeight="1" x14ac:dyDescent="0.25">
      <c r="A57" s="14" t="str">
        <f ca="1">IF(ISNA(VLOOKUP($B57,KeyAll,COLUMN(Key!$C$4),0))=TRUE,"No key!",VLOOKUP($B57,KeyAll,COLUMN(Key!$C$4),0))</f>
        <v>I-0314G</v>
      </c>
      <c r="B57" s="14" t="s">
        <v>218</v>
      </c>
      <c r="C57" s="1" t="str">
        <f ca="1">IF(ISNA(VLOOKUP($B57,KeyAll,COLUMN(Key!$B$4),0))=TRUE,"No key!",VLOOKUP($B57,KeyAll,COLUMN(Key!$B$4),0))</f>
        <v>Subscriptions &amp; Memberships</v>
      </c>
      <c r="D57" s="21">
        <v>7334.4800000000005</v>
      </c>
      <c r="E57" s="21">
        <v>7590.8720000000003</v>
      </c>
      <c r="F57" s="21">
        <v>7847.2720000000008</v>
      </c>
      <c r="G57" s="21">
        <v>8103.6640000000007</v>
      </c>
      <c r="H57" s="21">
        <v>8360.0560000000005</v>
      </c>
      <c r="I57" s="21">
        <v>8616.4560000000001</v>
      </c>
      <c r="J57" s="21">
        <v>8872.848</v>
      </c>
      <c r="K57" s="21">
        <v>9129.2479999999996</v>
      </c>
      <c r="L57" s="21">
        <v>9385.64</v>
      </c>
      <c r="M57" s="21">
        <v>9642.0399999999991</v>
      </c>
      <c r="N57" s="21">
        <v>9898.4320000000007</v>
      </c>
      <c r="O57" s="21">
        <v>10154.824000000001</v>
      </c>
    </row>
    <row r="58" spans="1:15" ht="16" customHeight="1" x14ac:dyDescent="0.25">
      <c r="A58" s="14" t="str">
        <f ca="1">IF(ISNA(VLOOKUP($B58,KeyAll,COLUMN(Key!$C$4),0))=TRUE,"No key!",VLOOKUP($B58,KeyAll,COLUMN(Key!$C$4),0))</f>
        <v>I-0315G</v>
      </c>
      <c r="B58" s="14" t="s">
        <v>219</v>
      </c>
      <c r="C58" s="1" t="str">
        <f ca="1">IF(ISNA(VLOOKUP($B58,KeyAll,COLUMN(Key!$B$4),0))=TRUE,"No key!",VLOOKUP($B58,KeyAll,COLUMN(Key!$B$4),0))</f>
        <v>Telephone &amp; Internet</v>
      </c>
      <c r="D58" s="21">
        <v>3754.76</v>
      </c>
      <c r="E58" s="21">
        <v>4000.0640000000003</v>
      </c>
      <c r="F58" s="21">
        <v>4245.3760000000002</v>
      </c>
      <c r="G58" s="21">
        <v>4490.6880000000001</v>
      </c>
      <c r="H58" s="21">
        <v>4736</v>
      </c>
      <c r="I58" s="21">
        <v>4981.3040000000001</v>
      </c>
      <c r="J58" s="21">
        <v>5226.6160000000009</v>
      </c>
      <c r="K58" s="21">
        <v>5471.9279999999999</v>
      </c>
      <c r="L58" s="21">
        <v>5717.232</v>
      </c>
      <c r="M58" s="21">
        <v>5962.5440000000008</v>
      </c>
      <c r="N58" s="21">
        <v>6207.8559999999998</v>
      </c>
      <c r="O58" s="21">
        <v>6453.1680000000006</v>
      </c>
    </row>
    <row r="59" spans="1:15" ht="16" customHeight="1" x14ac:dyDescent="0.25">
      <c r="A59" s="14" t="str">
        <f ca="1">IF(ISNA(VLOOKUP($B59,KeyAll,COLUMN(Key!$C$4),0))=TRUE,"No key!",VLOOKUP($B59,KeyAll,COLUMN(Key!$C$4),0))</f>
        <v>I-0316G</v>
      </c>
      <c r="B59" s="14" t="s">
        <v>220</v>
      </c>
      <c r="C59" s="1" t="str">
        <f ca="1">IF(ISNA(VLOOKUP($B59,KeyAll,COLUMN(Key!$B$4),0))=TRUE,"No key!",VLOOKUP($B59,KeyAll,COLUMN(Key!$B$4),0))</f>
        <v>Training</v>
      </c>
      <c r="D59" s="21">
        <v>2447.3440000000001</v>
      </c>
      <c r="E59" s="21">
        <v>2507.6000000000004</v>
      </c>
      <c r="F59" s="21">
        <v>2567.848</v>
      </c>
      <c r="G59" s="21">
        <v>2628.096</v>
      </c>
      <c r="H59" s="21">
        <v>2688.3520000000003</v>
      </c>
      <c r="I59" s="21">
        <v>2748.6000000000004</v>
      </c>
      <c r="J59" s="21">
        <v>2808.848</v>
      </c>
      <c r="K59" s="21">
        <v>2869.1040000000003</v>
      </c>
      <c r="L59" s="21">
        <v>2929.3520000000003</v>
      </c>
      <c r="M59" s="21">
        <v>2989.6000000000004</v>
      </c>
      <c r="N59" s="21">
        <v>3049.8560000000002</v>
      </c>
      <c r="O59" s="21">
        <v>3110.1040000000003</v>
      </c>
    </row>
    <row r="60" spans="1:15" ht="16" customHeight="1" x14ac:dyDescent="0.25">
      <c r="A60" s="14" t="str">
        <f ca="1">IF(ISNA(VLOOKUP($B60,KeyAll,COLUMN(Key!$C$4),0))=TRUE,"No key!",VLOOKUP($B60,KeyAll,COLUMN(Key!$C$4),0))</f>
        <v>I-0317G</v>
      </c>
      <c r="B60" s="14" t="s">
        <v>221</v>
      </c>
      <c r="C60" s="1" t="str">
        <f ca="1">IF(ISNA(VLOOKUP($B60,KeyAll,COLUMN(Key!$B$4),0))=TRUE,"No key!",VLOOKUP($B60,KeyAll,COLUMN(Key!$B$4),0))</f>
        <v>Travelling &amp; Accommodation</v>
      </c>
      <c r="D60" s="21">
        <v>2886.2080000000005</v>
      </c>
      <c r="E60" s="21">
        <v>2971.8560000000002</v>
      </c>
      <c r="F60" s="21">
        <v>3057.4960000000001</v>
      </c>
      <c r="G60" s="21">
        <v>3143.1440000000002</v>
      </c>
      <c r="H60" s="21">
        <v>3228.7840000000001</v>
      </c>
      <c r="I60" s="21">
        <v>3314.424</v>
      </c>
      <c r="J60" s="21">
        <v>3400.0720000000001</v>
      </c>
      <c r="K60" s="21">
        <v>3485.7120000000004</v>
      </c>
      <c r="L60" s="21">
        <v>3571.36</v>
      </c>
      <c r="M60" s="21">
        <v>3657</v>
      </c>
      <c r="N60" s="21">
        <v>3742.6400000000003</v>
      </c>
      <c r="O60" s="21">
        <v>3828.288</v>
      </c>
    </row>
    <row r="61" spans="1:15" ht="16" customHeight="1" x14ac:dyDescent="0.25">
      <c r="A61" s="14" t="str">
        <f ca="1">IF(ISNA(VLOOKUP($B61,KeyAll,COLUMN(Key!$C$4),0))=TRUE,"No key!",VLOOKUP($B61,KeyAll,COLUMN(Key!$C$4),0))</f>
        <v>I-0318G</v>
      </c>
      <c r="B61" s="14" t="s">
        <v>222</v>
      </c>
      <c r="C61" s="1" t="str">
        <f ca="1">IF(ISNA(VLOOKUP($B61,KeyAll,COLUMN(Key!$B$4),0))=TRUE,"No key!",VLOOKUP($B61,KeyAll,COLUMN(Key!$B$4),0))</f>
        <v>Utilities</v>
      </c>
      <c r="D61" s="21">
        <v>7493.8240000000005</v>
      </c>
      <c r="E61" s="21">
        <v>8007.0560000000005</v>
      </c>
      <c r="F61" s="21">
        <v>8520.2880000000005</v>
      </c>
      <c r="G61" s="21">
        <v>9033.52</v>
      </c>
      <c r="H61" s="21">
        <v>9546.7440000000006</v>
      </c>
      <c r="I61" s="21">
        <v>10059.976000000001</v>
      </c>
      <c r="J61" s="21">
        <v>10573.208000000001</v>
      </c>
      <c r="K61" s="21">
        <v>11086.44</v>
      </c>
      <c r="L61" s="21">
        <v>11599.672</v>
      </c>
      <c r="M61" s="21">
        <v>12112.904</v>
      </c>
      <c r="N61" s="21">
        <v>12626.136</v>
      </c>
      <c r="O61" s="21">
        <v>13139.368</v>
      </c>
    </row>
    <row r="62" spans="1:15" ht="16" customHeight="1" x14ac:dyDescent="0.25">
      <c r="A62" s="14" t="str">
        <f ca="1">IF(ISNA(VLOOKUP($B62,KeyAll,COLUMN(Key!$C$4),0))=TRUE,"No key!",VLOOKUP($B62,KeyAll,COLUMN(Key!$C$4),0))</f>
        <v>I-0401G</v>
      </c>
      <c r="B62" s="14" t="s">
        <v>223</v>
      </c>
      <c r="C62" s="1" t="str">
        <f ca="1">IF(ISNA(VLOOKUP($B62,KeyAll,COLUMN(Key!$B$4),0))=TRUE,"No key!",VLOOKUP($B62,KeyAll,COLUMN(Key!$B$4),0))</f>
        <v>Salaries &amp; Wages - Staff</v>
      </c>
      <c r="D62" s="21">
        <v>24668.072</v>
      </c>
      <c r="E62" s="21">
        <v>25790.504000000001</v>
      </c>
      <c r="F62" s="21">
        <v>26912.928000000004</v>
      </c>
      <c r="G62" s="21">
        <v>28035.352000000003</v>
      </c>
      <c r="H62" s="21">
        <v>29157.776000000002</v>
      </c>
      <c r="I62" s="21">
        <v>30280.2</v>
      </c>
      <c r="J62" s="21">
        <v>31402.624</v>
      </c>
      <c r="K62" s="21">
        <v>32525.047999999999</v>
      </c>
      <c r="L62" s="21">
        <v>33647.472000000002</v>
      </c>
      <c r="M62" s="21">
        <v>34769.904000000002</v>
      </c>
      <c r="N62" s="21">
        <v>35892.328000000001</v>
      </c>
      <c r="O62" s="21">
        <v>37014.752</v>
      </c>
    </row>
    <row r="63" spans="1:15" ht="16" customHeight="1" x14ac:dyDescent="0.25">
      <c r="A63" s="14" t="str">
        <f ca="1">IF(ISNA(VLOOKUP($B63,KeyAll,COLUMN(Key!$C$4),0))=TRUE,"No key!",VLOOKUP($B63,KeyAll,COLUMN(Key!$C$4),0))</f>
        <v>I-0402G</v>
      </c>
      <c r="B63" s="14" t="s">
        <v>225</v>
      </c>
      <c r="C63" s="1" t="str">
        <f ca="1">IF(ISNA(VLOOKUP($B63,KeyAll,COLUMN(Key!$B$4),0))=TRUE,"No key!",VLOOKUP($B63,KeyAll,COLUMN(Key!$B$4),0))</f>
        <v>Salaries &amp; Wages - Management</v>
      </c>
      <c r="D63" s="21">
        <v>28073.440000000002</v>
      </c>
      <c r="E63" s="21">
        <v>28677.864000000001</v>
      </c>
      <c r="F63" s="21">
        <v>29282.28</v>
      </c>
      <c r="G63" s="21">
        <v>29886.703999999998</v>
      </c>
      <c r="H63" s="21">
        <v>30491.120000000003</v>
      </c>
      <c r="I63" s="21">
        <v>31095.544000000002</v>
      </c>
      <c r="J63" s="21">
        <v>31699.96</v>
      </c>
      <c r="K63" s="21">
        <v>32304.384000000005</v>
      </c>
      <c r="L63" s="21">
        <v>32908.800000000003</v>
      </c>
      <c r="M63" s="21">
        <v>33513.224000000002</v>
      </c>
      <c r="N63" s="21">
        <v>34117.640000000007</v>
      </c>
      <c r="O63" s="21">
        <v>34722.056000000004</v>
      </c>
    </row>
    <row r="64" spans="1:15" ht="16" customHeight="1" x14ac:dyDescent="0.25">
      <c r="A64" s="14" t="str">
        <f ca="1">IF(ISNA(VLOOKUP($B64,KeyAll,COLUMN(Key!$C$4),0))=TRUE,"No key!",VLOOKUP($B64,KeyAll,COLUMN(Key!$C$4),0))</f>
        <v>I-0501G</v>
      </c>
      <c r="B64" s="14" t="s">
        <v>227</v>
      </c>
      <c r="C64" s="1" t="str">
        <f ca="1">IF(ISNA(VLOOKUP($B64,KeyAll,COLUMN(Key!$B$4),0))=TRUE,"No key!",VLOOKUP($B64,KeyAll,COLUMN(Key!$B$4),0))</f>
        <v>Depreciation</v>
      </c>
      <c r="D64" s="21">
        <v>7398.3280000000004</v>
      </c>
      <c r="E64" s="21">
        <v>7648.9600000000009</v>
      </c>
      <c r="F64" s="21">
        <v>7899.6</v>
      </c>
      <c r="G64" s="21">
        <v>8150.2320000000009</v>
      </c>
      <c r="H64" s="21">
        <v>8400.8639999999996</v>
      </c>
      <c r="I64" s="21">
        <v>8651.496000000001</v>
      </c>
      <c r="J64" s="21">
        <v>8902.1280000000006</v>
      </c>
      <c r="K64" s="21">
        <v>9152.76</v>
      </c>
      <c r="L64" s="21">
        <v>9403.3919999999998</v>
      </c>
      <c r="M64" s="21">
        <v>9654.0320000000011</v>
      </c>
      <c r="N64" s="21">
        <v>9904.6640000000007</v>
      </c>
      <c r="O64" s="21">
        <v>10155.296000000002</v>
      </c>
    </row>
    <row r="65" spans="1:15" ht="16" customHeight="1" x14ac:dyDescent="0.25">
      <c r="A65" s="14" t="str">
        <f ca="1">IF(ISNA(VLOOKUP($B65,KeyAll,COLUMN(Key!$C$4),0))=TRUE,"No key!",VLOOKUP($B65,KeyAll,COLUMN(Key!$C$4),0))</f>
        <v>I-0502G</v>
      </c>
      <c r="B65" s="14" t="s">
        <v>228</v>
      </c>
      <c r="C65" s="1" t="str">
        <f ca="1">IF(ISNA(VLOOKUP($B65,KeyAll,COLUMN(Key!$B$4),0))=TRUE,"No key!",VLOOKUP($B65,KeyAll,COLUMN(Key!$B$4),0))</f>
        <v>Amortization</v>
      </c>
      <c r="D65" s="21">
        <v>6921.6640000000007</v>
      </c>
      <c r="E65" s="21">
        <v>7242.576</v>
      </c>
      <c r="F65" s="21">
        <v>7563.4880000000012</v>
      </c>
      <c r="G65" s="21">
        <v>7884.4000000000005</v>
      </c>
      <c r="H65" s="21">
        <v>8205.3040000000001</v>
      </c>
      <c r="I65" s="21">
        <v>8526.2160000000003</v>
      </c>
      <c r="J65" s="21">
        <v>8847.1280000000006</v>
      </c>
      <c r="K65" s="21">
        <v>9168.0399999999991</v>
      </c>
      <c r="L65" s="21">
        <v>9488.9520000000011</v>
      </c>
      <c r="M65" s="21">
        <v>9809.8559999999998</v>
      </c>
      <c r="N65" s="21">
        <v>10130.768</v>
      </c>
      <c r="O65" s="21">
        <v>10451.68</v>
      </c>
    </row>
    <row r="66" spans="1:15" ht="16" customHeight="1" x14ac:dyDescent="0.25">
      <c r="A66" s="14" t="str">
        <f ca="1">IF(ISNA(VLOOKUP($B66,KeyAll,COLUMN(Key!$C$4),0))=TRUE,"No key!",VLOOKUP($B66,KeyAll,COLUMN(Key!$C$4),0))</f>
        <v>I-06G</v>
      </c>
      <c r="B66" s="14" t="s">
        <v>197</v>
      </c>
      <c r="C66" s="1" t="str">
        <f ca="1">IF(ISNA(VLOOKUP($B66,KeyAll,COLUMN(Key!$B$4),0))=TRUE,"No key!",VLOOKUP($B66,KeyAll,COLUMN(Key!$B$4),0))</f>
        <v>Interest Paid</v>
      </c>
      <c r="D66" s="21">
        <v>3089.6240000000003</v>
      </c>
      <c r="E66" s="21">
        <v>3171.8160000000003</v>
      </c>
      <c r="F66" s="21">
        <v>3254.0160000000001</v>
      </c>
      <c r="G66" s="21">
        <v>3336.2080000000005</v>
      </c>
      <c r="H66" s="21">
        <v>3418.4</v>
      </c>
      <c r="I66" s="21">
        <v>3500.5920000000001</v>
      </c>
      <c r="J66" s="21">
        <v>3582.7839999999997</v>
      </c>
      <c r="K66" s="21">
        <v>3664.9839999999999</v>
      </c>
      <c r="L66" s="21">
        <v>3747.1760000000004</v>
      </c>
      <c r="M66" s="21">
        <v>3829.3680000000004</v>
      </c>
      <c r="N66" s="21">
        <v>3911.56</v>
      </c>
      <c r="O66" s="21">
        <v>3993.752</v>
      </c>
    </row>
    <row r="67" spans="1:15" s="21" customFormat="1" ht="16" customHeight="1" x14ac:dyDescent="0.25">
      <c r="A67" s="14" t="str">
        <f ca="1">IF(ISNA(VLOOKUP($B67,KeyAll,COLUMN(Key!$C$4),0))=TRUE,"No key!",VLOOKUP($B67,KeyAll,COLUMN(Key!$C$4),0))</f>
        <v>I-07G</v>
      </c>
      <c r="B67" s="15" t="s">
        <v>198</v>
      </c>
      <c r="C67" s="1" t="str">
        <f ca="1">IF(ISNA(VLOOKUP($B67,KeyAll,COLUMN(Key!$B$4),0))=TRUE,"No key!",VLOOKUP($B67,KeyAll,COLUMN(Key!$B$4),0))</f>
        <v>Taxation</v>
      </c>
      <c r="D67" s="21">
        <v>7646.9600000000009</v>
      </c>
      <c r="E67" s="21">
        <v>7908.6399999999994</v>
      </c>
      <c r="F67" s="21">
        <v>8170.32</v>
      </c>
      <c r="G67" s="21">
        <v>8432</v>
      </c>
      <c r="H67" s="21">
        <v>8693.6720000000005</v>
      </c>
      <c r="I67" s="21">
        <v>8955.3520000000008</v>
      </c>
      <c r="J67" s="21">
        <v>9217.0320000000011</v>
      </c>
      <c r="K67" s="21">
        <v>9478.7119999999995</v>
      </c>
      <c r="L67" s="21">
        <v>9740.384</v>
      </c>
      <c r="M67" s="21">
        <v>10002.064</v>
      </c>
      <c r="N67" s="21">
        <v>10263.744000000001</v>
      </c>
      <c r="O67" s="21">
        <v>10525.416000000001</v>
      </c>
    </row>
    <row r="68" spans="1:15" ht="16" customHeight="1" x14ac:dyDescent="0.25">
      <c r="A68" s="14" t="str">
        <f ca="1">IF(ISNA(VLOOKUP($B68,KeyAll,COLUMN(Key!$C$4),0))=TRUE,"No key!",VLOOKUP($B68,KeyAll,COLUMN(Key!$C$4),0))</f>
        <v>I-08G</v>
      </c>
      <c r="B68" s="14" t="s">
        <v>200</v>
      </c>
      <c r="C68" s="1" t="str">
        <f ca="1">IF(ISNA(VLOOKUP($B68,KeyAll,COLUMN(Key!$B$4),0))=TRUE,"No key!",VLOOKUP($B68,KeyAll,COLUMN(Key!$B$4),0))</f>
        <v>Other Expenses</v>
      </c>
      <c r="D68" s="21">
        <v>6689.7039999999997</v>
      </c>
      <c r="E68" s="21">
        <v>7168.9840000000004</v>
      </c>
      <c r="F68" s="21">
        <v>7648.2560000000003</v>
      </c>
      <c r="G68" s="21">
        <v>8127.5360000000001</v>
      </c>
      <c r="H68" s="21">
        <v>8606.8080000000009</v>
      </c>
      <c r="I68" s="21">
        <v>9086.0880000000016</v>
      </c>
      <c r="J68" s="21">
        <v>9565.36</v>
      </c>
      <c r="K68" s="21">
        <v>10044.64</v>
      </c>
      <c r="L68" s="21">
        <v>10523.92</v>
      </c>
      <c r="M68" s="21">
        <v>11003.192000000001</v>
      </c>
      <c r="N68" s="21">
        <v>11482.472000000002</v>
      </c>
      <c r="O68" s="21">
        <v>11961.744000000001</v>
      </c>
    </row>
    <row r="69" spans="1:15" ht="16" customHeight="1" x14ac:dyDescent="0.25">
      <c r="A69" s="14" t="str">
        <f ca="1">IF(ISNA(VLOOKUP($B69,KeyAll,COLUMN(Key!$C$4),0))=TRUE,"No key!",VLOOKUP($B69,KeyAll,COLUMN(Key!$C$4),0))</f>
        <v>I-08G</v>
      </c>
      <c r="B69" s="14" t="s">
        <v>230</v>
      </c>
      <c r="C69" s="1" t="str">
        <f ca="1">IF(ISNA(VLOOKUP($B69,KeyAll,COLUMN(Key!$B$4),0))=TRUE,"No key!",VLOOKUP($B69,KeyAll,COLUMN(Key!$B$4),0))</f>
        <v>Foreign Exchange Loss</v>
      </c>
      <c r="D69" s="21">
        <v>850.05600000000004</v>
      </c>
      <c r="E69" s="21">
        <v>893.10400000000016</v>
      </c>
      <c r="F69" s="21">
        <v>936.16000000000008</v>
      </c>
      <c r="G69" s="21">
        <v>979.20800000000008</v>
      </c>
      <c r="H69" s="21">
        <v>1022.256</v>
      </c>
      <c r="I69" s="21">
        <v>1065.3120000000001</v>
      </c>
      <c r="J69" s="21">
        <v>1108.3600000000001</v>
      </c>
      <c r="K69" s="21">
        <v>1151.4080000000001</v>
      </c>
      <c r="L69" s="21">
        <v>1194.4639999999999</v>
      </c>
      <c r="M69" s="21">
        <v>1237.5120000000002</v>
      </c>
      <c r="N69" s="21">
        <v>1280.5680000000002</v>
      </c>
      <c r="O69" s="21">
        <v>1323.616</v>
      </c>
    </row>
    <row r="70" spans="1:15" ht="16" customHeight="1" x14ac:dyDescent="0.25">
      <c r="A70" s="14" t="str">
        <f ca="1">IF(ISNA(VLOOKUP($B70,KeyAll,COLUMN(Key!$C$4),0))=TRUE,"No key!",VLOOKUP($B70,KeyAll,COLUMN(Key!$C$4),0))</f>
        <v>I-08G</v>
      </c>
      <c r="B70" s="14" t="s">
        <v>232</v>
      </c>
      <c r="C70" s="1" t="str">
        <f ca="1">IF(ISNA(VLOOKUP($B70,KeyAll,COLUMN(Key!$B$4),0))=TRUE,"No key!",VLOOKUP($B70,KeyAll,COLUMN(Key!$B$4),0))</f>
        <v>Loss on Disposal of Assets</v>
      </c>
      <c r="D70" s="21">
        <v>3805.36</v>
      </c>
      <c r="E70" s="21">
        <v>3932.1760000000004</v>
      </c>
      <c r="F70" s="21">
        <v>4059</v>
      </c>
      <c r="G70" s="21">
        <v>4185.8160000000007</v>
      </c>
      <c r="H70" s="21">
        <v>4312.6320000000005</v>
      </c>
      <c r="I70" s="21">
        <v>4439.4560000000001</v>
      </c>
      <c r="J70" s="21">
        <v>4566.2719999999999</v>
      </c>
      <c r="K70" s="21">
        <v>4693.0960000000005</v>
      </c>
      <c r="L70" s="21">
        <v>4819.9120000000003</v>
      </c>
      <c r="M70" s="21">
        <v>4946.7280000000001</v>
      </c>
      <c r="N70" s="21">
        <v>5073.5519999999997</v>
      </c>
      <c r="O70" s="21">
        <v>5200.3680000000004</v>
      </c>
    </row>
    <row r="71" spans="1:15" ht="16" customHeight="1" x14ac:dyDescent="0.25">
      <c r="A71" s="14" t="str">
        <f ca="1">IF(ISNA(VLOOKUP($B71,KeyAll,COLUMN(Key!$C$4),0))=TRUE,"No key!",VLOOKUP($B71,KeyAll,COLUMN(Key!$C$4),0))</f>
        <v>I-09G</v>
      </c>
      <c r="B71" s="14" t="s">
        <v>201</v>
      </c>
      <c r="C71" s="1" t="str">
        <f ca="1">IF(ISNA(VLOOKUP($B71,KeyAll,COLUMN(Key!$B$4),0))=TRUE,"No key!",VLOOKUP($B71,KeyAll,COLUMN(Key!$B$4),0))</f>
        <v>Other Income</v>
      </c>
      <c r="D71" s="21">
        <v>1663.0320000000002</v>
      </c>
      <c r="E71" s="21">
        <v>1729.9759999999999</v>
      </c>
      <c r="F71" s="21">
        <v>1796.9279999999999</v>
      </c>
      <c r="G71" s="21">
        <v>1863.88</v>
      </c>
      <c r="H71" s="21">
        <v>1930.8240000000003</v>
      </c>
      <c r="I71" s="21">
        <v>1997.7759999999998</v>
      </c>
      <c r="J71" s="21">
        <v>2064.7200000000003</v>
      </c>
      <c r="K71" s="21">
        <v>2131.672</v>
      </c>
      <c r="L71" s="21">
        <v>2198.616</v>
      </c>
      <c r="M71" s="21">
        <v>2265.5680000000002</v>
      </c>
      <c r="N71" s="21">
        <v>2332.5120000000002</v>
      </c>
      <c r="O71" s="21">
        <v>2399.4639999999999</v>
      </c>
    </row>
    <row r="72" spans="1:15" ht="16" customHeight="1" x14ac:dyDescent="0.25">
      <c r="A72" s="14" t="str">
        <f ca="1">IF(ISNA(VLOOKUP($B72,KeyAll,COLUMN(Key!$C$4),0))=TRUE,"No key!",VLOOKUP($B72,KeyAll,COLUMN(Key!$C$4),0))</f>
        <v>I-10G</v>
      </c>
      <c r="B72" s="14" t="s">
        <v>202</v>
      </c>
      <c r="C72" s="1" t="str">
        <f ca="1">IF(ISNA(VLOOKUP($B72,KeyAll,COLUMN(Key!$B$4),0))=TRUE,"No key!",VLOOKUP($B72,KeyAll,COLUMN(Key!$B$4),0))</f>
        <v>Dividends</v>
      </c>
      <c r="D72" s="21">
        <v>7588.9520000000011</v>
      </c>
      <c r="E72" s="21">
        <v>7887.8960000000006</v>
      </c>
      <c r="F72" s="21">
        <v>8186.84</v>
      </c>
      <c r="G72" s="21">
        <v>8485.7839999999997</v>
      </c>
      <c r="H72" s="21">
        <v>8784.728000000001</v>
      </c>
      <c r="I72" s="21">
        <v>9083.68</v>
      </c>
      <c r="J72" s="21">
        <v>9382.6240000000016</v>
      </c>
      <c r="K72" s="21">
        <v>9681.5679999999993</v>
      </c>
      <c r="L72" s="21">
        <v>9980.5120000000006</v>
      </c>
      <c r="M72" s="21">
        <v>10279.456</v>
      </c>
      <c r="N72" s="21">
        <v>10578.400000000001</v>
      </c>
      <c r="O72" s="21">
        <v>10877.344000000001</v>
      </c>
    </row>
    <row r="73" spans="1:15" ht="16" customHeight="1" x14ac:dyDescent="0.25">
      <c r="A73" s="14" t="str">
        <f ca="1">IF(ISNA(VLOOKUP($B73,KeyAll,COLUMN(Key!$C$4),0))=TRUE,"No key!",VLOOKUP($B73,KeyAll,COLUMN(Key!$C$4),0))</f>
        <v>B-06G</v>
      </c>
      <c r="B73" s="14" t="s">
        <v>145</v>
      </c>
      <c r="C73" s="1" t="str">
        <f ca="1">IF(ISNA(VLOOKUP($B73,KeyAll,COLUMN(Key!$B$4),0))=TRUE,"No key!",VLOOKUP($B73,KeyAll,COLUMN(Key!$B$4),0))</f>
        <v>B1 Bank Account</v>
      </c>
      <c r="D73" s="21">
        <v>14375.816000000001</v>
      </c>
      <c r="E73" s="21">
        <v>14923.832000000002</v>
      </c>
      <c r="F73" s="21">
        <v>15471.848000000002</v>
      </c>
      <c r="G73" s="21">
        <v>16019.864000000001</v>
      </c>
      <c r="H73" s="21">
        <v>16567.88</v>
      </c>
      <c r="I73" s="21">
        <v>17115.896000000001</v>
      </c>
      <c r="J73" s="21">
        <v>17663.912</v>
      </c>
      <c r="K73" s="21">
        <v>18211.928</v>
      </c>
      <c r="L73" s="21">
        <v>18759.944</v>
      </c>
      <c r="M73" s="21">
        <v>19307.968000000001</v>
      </c>
      <c r="N73" s="21">
        <v>19855.984</v>
      </c>
      <c r="O73" s="21">
        <v>20404</v>
      </c>
    </row>
    <row r="74" spans="1:15" ht="16" customHeight="1" x14ac:dyDescent="0.25">
      <c r="A74" s="14" t="str">
        <f ca="1">IF(ISNA(VLOOKUP($B74,KeyAll,COLUMN(Key!$C$4),0))=TRUE,"No key!",VLOOKUP($B74,KeyAll,COLUMN(Key!$C$4),0))</f>
        <v>B-06G</v>
      </c>
      <c r="B74" s="14" t="s">
        <v>146</v>
      </c>
      <c r="C74" s="1" t="str">
        <f ca="1">IF(ISNA(VLOOKUP($B74,KeyAll,COLUMN(Key!$B$4),0))=TRUE,"No key!",VLOOKUP($B74,KeyAll,COLUMN(Key!$B$4),0))</f>
        <v>B2 Bank Account</v>
      </c>
      <c r="D74" s="21">
        <v>11272.592000000001</v>
      </c>
      <c r="E74" s="21">
        <v>11823.496000000001</v>
      </c>
      <c r="F74" s="21">
        <v>12374.408000000001</v>
      </c>
      <c r="G74" s="21">
        <v>12925.312</v>
      </c>
      <c r="H74" s="21">
        <v>13476.216</v>
      </c>
      <c r="I74" s="21">
        <v>14027.120000000003</v>
      </c>
      <c r="J74" s="21">
        <v>14578.032000000001</v>
      </c>
      <c r="K74" s="21">
        <v>15128.936</v>
      </c>
      <c r="L74" s="21">
        <v>15679.84</v>
      </c>
      <c r="M74" s="21">
        <v>16230.744000000001</v>
      </c>
      <c r="N74" s="21">
        <v>16781.655999999999</v>
      </c>
      <c r="O74" s="21">
        <v>17332.560000000001</v>
      </c>
    </row>
    <row r="75" spans="1:15" ht="16" customHeight="1" x14ac:dyDescent="0.25">
      <c r="A75" s="14" t="str">
        <f ca="1">IF(ISNA(VLOOKUP($B75,KeyAll,COLUMN(Key!$C$4),0))=TRUE,"No key!",VLOOKUP($B75,KeyAll,COLUMN(Key!$C$4),0))</f>
        <v>B-06G</v>
      </c>
      <c r="B75" s="14" t="s">
        <v>147</v>
      </c>
      <c r="C75" s="1" t="str">
        <f ca="1">IF(ISNA(VLOOKUP($B75,KeyAll,COLUMN(Key!$B$4),0))=TRUE,"No key!",VLOOKUP($B75,KeyAll,COLUMN(Key!$B$4),0))</f>
        <v>B3 Bank Account</v>
      </c>
      <c r="D75" s="21">
        <v>23248.944000000003</v>
      </c>
      <c r="E75" s="21">
        <v>23715.584000000003</v>
      </c>
      <c r="F75" s="21">
        <v>24182.216</v>
      </c>
      <c r="G75" s="21">
        <v>24648.856</v>
      </c>
      <c r="H75" s="21">
        <v>25115.488000000001</v>
      </c>
      <c r="I75" s="21">
        <v>25582.128000000001</v>
      </c>
      <c r="J75" s="21">
        <v>26048.768</v>
      </c>
      <c r="K75" s="21">
        <v>26515.4</v>
      </c>
      <c r="L75" s="21">
        <v>26982.040000000005</v>
      </c>
      <c r="M75" s="21">
        <v>27448.671999999999</v>
      </c>
      <c r="N75" s="21">
        <v>27915.312000000002</v>
      </c>
      <c r="O75" s="21">
        <v>28381.944000000003</v>
      </c>
    </row>
    <row r="76" spans="1:15" ht="16" customHeight="1" x14ac:dyDescent="0.25">
      <c r="A76" s="14" t="str">
        <f ca="1">IF(ISNA(VLOOKUP($B76,KeyAll,COLUMN(Key!$C$4),0))=TRUE,"No key!",VLOOKUP($B76,KeyAll,COLUMN(Key!$C$4),0))</f>
        <v>B-06G</v>
      </c>
      <c r="B76" s="14" t="s">
        <v>148</v>
      </c>
      <c r="C76" s="1" t="str">
        <f ca="1">IF(ISNA(VLOOKUP($B76,KeyAll,COLUMN(Key!$B$4),0))=TRUE,"No key!",VLOOKUP($B76,KeyAll,COLUMN(Key!$B$4),0))</f>
        <v>PC Petty Cash</v>
      </c>
      <c r="D76" s="21">
        <v>13944.968000000001</v>
      </c>
      <c r="E76" s="21">
        <v>14252.248000000001</v>
      </c>
      <c r="F76" s="21">
        <v>14559.528</v>
      </c>
      <c r="G76" s="21">
        <v>14866.807999999999</v>
      </c>
      <c r="H76" s="21">
        <v>15174.088000000002</v>
      </c>
      <c r="I76" s="21">
        <v>15481.368</v>
      </c>
      <c r="J76" s="21">
        <v>15788.648000000001</v>
      </c>
      <c r="K76" s="21">
        <v>16095.928</v>
      </c>
      <c r="L76" s="21">
        <v>16403.207999999999</v>
      </c>
      <c r="M76" s="21">
        <v>16710.48</v>
      </c>
      <c r="N76" s="21">
        <v>17017.760000000002</v>
      </c>
      <c r="O76" s="21">
        <v>17325.04</v>
      </c>
    </row>
    <row r="77" spans="1:15" ht="16" customHeight="1" x14ac:dyDescent="0.25">
      <c r="A77" s="14" t="str">
        <f ca="1">IF(ISNA(VLOOKUP($B77,KeyAll,COLUMN(Key!$C$4),0))=TRUE,"No key!",VLOOKUP($B77,KeyAll,COLUMN(Key!$C$4),0))</f>
        <v>B-06G</v>
      </c>
      <c r="B77" s="14" t="s">
        <v>150</v>
      </c>
      <c r="C77" s="1" t="str">
        <f ca="1">IF(ISNA(VLOOKUP($B77,KeyAll,COLUMN(Key!$B$4),0))=TRUE,"No key!",VLOOKUP($B77,KeyAll,COLUMN(Key!$B$4),0))</f>
        <v>GL Journal Control</v>
      </c>
      <c r="D77" s="21">
        <v>2850.848</v>
      </c>
      <c r="E77" s="21">
        <v>2914.1759999999999</v>
      </c>
      <c r="F77" s="21">
        <v>2977.5040000000004</v>
      </c>
      <c r="G77" s="21">
        <v>3040.8320000000003</v>
      </c>
      <c r="H77" s="21">
        <v>3104.16</v>
      </c>
      <c r="I77" s="21">
        <v>3167.4880000000003</v>
      </c>
      <c r="J77" s="21">
        <v>3230.8080000000004</v>
      </c>
      <c r="K77" s="21">
        <v>3294.1360000000004</v>
      </c>
      <c r="L77" s="21">
        <v>3357.4639999999999</v>
      </c>
      <c r="M77" s="21">
        <v>3420.7919999999999</v>
      </c>
      <c r="N77" s="21">
        <v>3484.12</v>
      </c>
      <c r="O77" s="21">
        <v>3547.4400000000005</v>
      </c>
    </row>
    <row r="78" spans="1:15" ht="16" customHeight="1" x14ac:dyDescent="0.25">
      <c r="A78" s="14" t="str">
        <f ca="1">IF(ISNA(VLOOKUP($B78,KeyAll,COLUMN(Key!$C$4),0))=TRUE,"No key!",VLOOKUP($B78,KeyAll,COLUMN(Key!$C$4),0))</f>
        <v>B-10G</v>
      </c>
      <c r="B78" s="14" t="s">
        <v>161</v>
      </c>
      <c r="C78" s="1" t="str">
        <f ca="1">IF(ISNA(VLOOKUP($B78,KeyAll,COLUMN(Key!$B$4),0))=TRUE,"No key!",VLOOKUP($B78,KeyAll,COLUMN(Key!$B$4),0))</f>
        <v>Inventory</v>
      </c>
      <c r="D78" s="21">
        <v>5188.8640000000005</v>
      </c>
      <c r="E78" s="21">
        <v>5449.1440000000002</v>
      </c>
      <c r="F78" s="21">
        <v>5709.4160000000011</v>
      </c>
      <c r="G78" s="21">
        <v>5969.6959999999999</v>
      </c>
      <c r="H78" s="21">
        <v>6229.9760000000006</v>
      </c>
      <c r="I78" s="21">
        <v>6490.2480000000005</v>
      </c>
      <c r="J78" s="21">
        <v>6750.5280000000002</v>
      </c>
      <c r="K78" s="21">
        <v>7010.8</v>
      </c>
      <c r="L78" s="21">
        <v>7271.0800000000008</v>
      </c>
      <c r="M78" s="21">
        <v>7531.3600000000006</v>
      </c>
      <c r="N78" s="21">
        <v>7791.6320000000014</v>
      </c>
      <c r="O78" s="21">
        <v>8051.9120000000003</v>
      </c>
    </row>
    <row r="79" spans="1:15" ht="16" customHeight="1" x14ac:dyDescent="0.25">
      <c r="A79" s="14" t="str">
        <f ca="1">IF(ISNA(VLOOKUP($B79,KeyAll,COLUMN(Key!$C$4),0))=TRUE,"No key!",VLOOKUP($B79,KeyAll,COLUMN(Key!$C$4),0))</f>
        <v>B-08G</v>
      </c>
      <c r="B79" s="14" t="s">
        <v>156</v>
      </c>
      <c r="C79" s="1" t="str">
        <f ca="1">IF(ISNA(VLOOKUP($B79,KeyAll,COLUMN(Key!$B$4),0))=TRUE,"No key!",VLOOKUP($B79,KeyAll,COLUMN(Key!$B$4),0))</f>
        <v>Trade Debtors</v>
      </c>
      <c r="D79" s="21">
        <v>4823.6639999999998</v>
      </c>
      <c r="E79" s="21">
        <v>4956.4960000000001</v>
      </c>
      <c r="F79" s="21">
        <v>5089.3360000000002</v>
      </c>
      <c r="G79" s="21">
        <v>5222.1760000000004</v>
      </c>
      <c r="H79" s="21">
        <v>5355.0160000000005</v>
      </c>
      <c r="I79" s="21">
        <v>5487.8559999999998</v>
      </c>
      <c r="J79" s="21">
        <v>5620.6959999999999</v>
      </c>
      <c r="K79" s="21">
        <v>5753.5360000000001</v>
      </c>
      <c r="L79" s="21">
        <v>5886.3760000000002</v>
      </c>
      <c r="M79" s="21">
        <v>6019.2160000000003</v>
      </c>
      <c r="N79" s="21">
        <v>6152.0560000000005</v>
      </c>
      <c r="O79" s="21">
        <v>6284.8879999999999</v>
      </c>
    </row>
    <row r="80" spans="1:15" ht="16" customHeight="1" x14ac:dyDescent="0.25">
      <c r="A80" s="14" t="str">
        <f ca="1">IF(ISNA(VLOOKUP($B80,KeyAll,COLUMN(Key!$C$4),0))=TRUE,"No key!",VLOOKUP($B80,KeyAll,COLUMN(Key!$C$4),0))</f>
        <v>B-12G</v>
      </c>
      <c r="B80" s="14" t="s">
        <v>163</v>
      </c>
      <c r="C80" s="1" t="str">
        <f ca="1">IF(ISNA(VLOOKUP($B80,KeyAll,COLUMN(Key!$B$4),0))=TRUE,"No key!",VLOOKUP($B80,KeyAll,COLUMN(Key!$B$4),0))</f>
        <v>Trade Creditors</v>
      </c>
      <c r="D80" s="21">
        <v>18532.256000000001</v>
      </c>
      <c r="E80" s="21">
        <v>19010.024000000001</v>
      </c>
      <c r="F80" s="21">
        <v>19487.784</v>
      </c>
      <c r="G80" s="21">
        <v>19965.552</v>
      </c>
      <c r="H80" s="21">
        <v>20443.320000000003</v>
      </c>
      <c r="I80" s="21">
        <v>20921.088000000003</v>
      </c>
      <c r="J80" s="21">
        <v>21398.856</v>
      </c>
      <c r="K80" s="21">
        <v>21876.624</v>
      </c>
      <c r="L80" s="21">
        <v>22354.392000000003</v>
      </c>
      <c r="M80" s="21">
        <v>22832.152000000002</v>
      </c>
      <c r="N80" s="21">
        <v>23309.920000000002</v>
      </c>
      <c r="O80" s="21">
        <v>23787.688000000002</v>
      </c>
    </row>
    <row r="81" spans="1:15" ht="16" customHeight="1" x14ac:dyDescent="0.25">
      <c r="A81" s="14" t="str">
        <f ca="1">IF(ISNA(VLOOKUP($B81,KeyAll,COLUMN(Key!$C$4),0))=TRUE,"No key!",VLOOKUP($B81,KeyAll,COLUMN(Key!$C$4),0))</f>
        <v>B-21G</v>
      </c>
      <c r="B81" s="14" t="s">
        <v>183</v>
      </c>
      <c r="C81" s="1" t="str">
        <f ca="1">IF(ISNA(VLOOKUP($B81,KeyAll,COLUMN(Key!$B$4),0))=TRUE,"No key!",VLOOKUP($B81,KeyAll,COLUMN(Key!$B$4),0))</f>
        <v>Retained Earnings</v>
      </c>
      <c r="D81" s="21">
        <v>-662758.16800000006</v>
      </c>
      <c r="E81" s="21">
        <v>-691886.70400000003</v>
      </c>
      <c r="F81" s="21">
        <v>-721015.28</v>
      </c>
      <c r="G81" s="21">
        <v>-750143.84000000008</v>
      </c>
      <c r="H81" s="21">
        <v>-779272.31200000003</v>
      </c>
      <c r="I81" s="21">
        <v>-808400.88800000004</v>
      </c>
      <c r="J81" s="21">
        <v>-837529.44000000006</v>
      </c>
      <c r="K81" s="21">
        <v>-866657.95200000005</v>
      </c>
      <c r="L81" s="21">
        <v>-895786.50399999996</v>
      </c>
      <c r="M81" s="21">
        <v>-924915.04</v>
      </c>
      <c r="N81" s="21">
        <v>-954043.60000000009</v>
      </c>
      <c r="O81" s="21">
        <v>-983172.09600000014</v>
      </c>
    </row>
  </sheetData>
  <sheetProtection algorithmName="SHA-512" hashValue="I3tFVvzjJ/0ESdVwEpedKJFED2RR6Gz/kzpcSQ0yt+1EvxP/F7vL+ZCGN1wAy/nV6GmXq/ePcYFuDmf2O1LTXQ==" saltValue="ip56PxDMbpAFNGaWcssZng==" spinCount="100000" sheet="1" objects="1" scenarios="1"/>
  <conditionalFormatting sqref="A4">
    <cfRule type="expression" dxfId="8" priority="1" stopIfTrue="1">
      <formula>COUNTIF(ForClass,"No key!")&gt;0</formula>
    </cfRule>
  </conditionalFormatting>
  <conditionalFormatting sqref="D3:O3">
    <cfRule type="expression" dxfId="7" priority="2" stopIfTrue="1">
      <formula>ROUND(D3,2)&lt;&gt;0</formula>
    </cfRule>
  </conditionalFormatting>
  <pageMargins left="0.51181102362204722" right="0.51181102362204722" top="0.55118110236220474" bottom="0.55118110236220474" header="0.39370078740157483" footer="0.39370078740157483"/>
  <pageSetup paperSize="9" scale="58" fitToHeight="0" orientation="landscape" r:id="rId1"/>
  <headerFooter>
    <oddFooter>&amp;C&amp;9Page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S42"/>
  <sheetViews>
    <sheetView zoomScale="95" zoomScaleNormal="95" workbookViewId="0">
      <pane xSplit="2" ySplit="4" topLeftCell="H27" activePane="bottomRight" state="frozen"/>
      <selection pane="topRight" activeCell="C1" sqref="C1"/>
      <selection pane="bottomLeft" activeCell="A5" sqref="A5"/>
      <selection pane="bottomRight" activeCell="N34" sqref="N34"/>
    </sheetView>
  </sheetViews>
  <sheetFormatPr defaultColWidth="9.08984375" defaultRowHeight="16" customHeight="1" x14ac:dyDescent="0.25"/>
  <cols>
    <col min="1" max="1" width="8.6328125" style="107" customWidth="1"/>
    <col min="2" max="2" width="38.81640625" style="14" customWidth="1"/>
    <col min="3" max="15" width="12.6328125" style="28" customWidth="1"/>
    <col min="16" max="27" width="9.08984375" style="1"/>
    <col min="28" max="28" width="10.08984375" style="1" bestFit="1" customWidth="1"/>
    <col min="29" max="16384" width="9.08984375" style="1"/>
  </cols>
  <sheetData>
    <row r="1" spans="1:45" ht="16" customHeight="1" x14ac:dyDescent="0.3">
      <c r="B1" s="106" t="s">
        <v>307</v>
      </c>
    </row>
    <row r="2" spans="1:45" s="32" customFormat="1" ht="16" customHeight="1" x14ac:dyDescent="0.25">
      <c r="A2" s="108"/>
      <c r="B2" s="30" t="s">
        <v>85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spans="1:45" s="32" customFormat="1" ht="16" customHeight="1" x14ac:dyDescent="0.25">
      <c r="A3" s="108"/>
      <c r="B3" s="31" t="s">
        <v>36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45" s="99" customFormat="1" ht="18" customHeight="1" x14ac:dyDescent="0.25">
      <c r="A4" s="109"/>
      <c r="B4" s="97"/>
      <c r="C4" s="98">
        <v>45747</v>
      </c>
      <c r="D4" s="98">
        <v>45777</v>
      </c>
      <c r="E4" s="98">
        <v>45808</v>
      </c>
      <c r="F4" s="98">
        <v>45838</v>
      </c>
      <c r="G4" s="98">
        <v>45869</v>
      </c>
      <c r="H4" s="98">
        <v>45900</v>
      </c>
      <c r="I4" s="98">
        <v>45930</v>
      </c>
      <c r="J4" s="98">
        <v>45961</v>
      </c>
      <c r="K4" s="98">
        <v>45991</v>
      </c>
      <c r="L4" s="98">
        <v>46022</v>
      </c>
      <c r="M4" s="98">
        <v>46053</v>
      </c>
      <c r="N4" s="98">
        <v>46081</v>
      </c>
      <c r="O4" s="98" t="s">
        <v>87</v>
      </c>
    </row>
    <row r="5" spans="1:45" ht="16" customHeight="1" x14ac:dyDescent="0.25">
      <c r="A5" s="107" t="s">
        <v>238</v>
      </c>
      <c r="B5" s="14" t="s">
        <v>48</v>
      </c>
      <c r="C5" s="36">
        <v>123291.30600000001</v>
      </c>
      <c r="D5" s="36">
        <v>10210.644</v>
      </c>
      <c r="E5" s="36">
        <v>10210.625999999989</v>
      </c>
      <c r="F5" s="36">
        <v>10210.625999999989</v>
      </c>
      <c r="G5" s="36">
        <v>10210.626000000018</v>
      </c>
      <c r="H5" s="36">
        <v>10210.625999999989</v>
      </c>
      <c r="I5" s="36">
        <v>10210.644</v>
      </c>
      <c r="J5" s="36">
        <v>10210.626000000018</v>
      </c>
      <c r="K5" s="36">
        <v>10210.625999999989</v>
      </c>
      <c r="L5" s="36">
        <v>10210.643999999971</v>
      </c>
      <c r="M5" s="36">
        <v>10210.626000000018</v>
      </c>
      <c r="N5" s="36">
        <v>10210.625999999989</v>
      </c>
      <c r="O5" s="36">
        <v>235608.24599999998</v>
      </c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6"/>
      <c r="AP5" s="216"/>
      <c r="AQ5" s="216"/>
      <c r="AR5" s="216"/>
      <c r="AS5" s="216"/>
    </row>
    <row r="6" spans="1:45" ht="16" customHeight="1" x14ac:dyDescent="0.25">
      <c r="A6" s="107" t="s">
        <v>239</v>
      </c>
      <c r="B6" s="14" t="s">
        <v>235</v>
      </c>
      <c r="C6" s="28">
        <v>-119345.98</v>
      </c>
      <c r="D6" s="28">
        <v>-7461.6699999999983</v>
      </c>
      <c r="E6" s="28">
        <v>-7461.6700000000128</v>
      </c>
      <c r="F6" s="28">
        <v>-7461.6599999999744</v>
      </c>
      <c r="G6" s="28">
        <v>-7461.6600000000326</v>
      </c>
      <c r="H6" s="28">
        <v>-7461.6599999999744</v>
      </c>
      <c r="I6" s="28">
        <v>-7461.6700000000128</v>
      </c>
      <c r="J6" s="28">
        <v>-7461.6600000000035</v>
      </c>
      <c r="K6" s="28">
        <v>-7461.6600000000035</v>
      </c>
      <c r="L6" s="28">
        <v>-7461.6699999999837</v>
      </c>
      <c r="M6" s="28">
        <v>-7461.6600000000035</v>
      </c>
      <c r="N6" s="28">
        <v>-7461.6600000000035</v>
      </c>
      <c r="O6" s="36">
        <v>-201424.28</v>
      </c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6"/>
      <c r="AP6" s="216"/>
      <c r="AQ6" s="216"/>
      <c r="AR6" s="216"/>
      <c r="AS6" s="216"/>
    </row>
    <row r="7" spans="1:45" ht="16" customHeight="1" x14ac:dyDescent="0.25">
      <c r="B7" s="14" t="s">
        <v>30</v>
      </c>
      <c r="C7" s="38">
        <v>242637.28600000002</v>
      </c>
      <c r="D7" s="38">
        <v>17672.313999999998</v>
      </c>
      <c r="E7" s="38">
        <v>17672.296000000002</v>
      </c>
      <c r="F7" s="38">
        <v>17672.285999999964</v>
      </c>
      <c r="G7" s="38">
        <v>17672.286000000051</v>
      </c>
      <c r="H7" s="38">
        <v>17672.285999999964</v>
      </c>
      <c r="I7" s="38">
        <v>17672.314000000013</v>
      </c>
      <c r="J7" s="38">
        <v>17672.286000000022</v>
      </c>
      <c r="K7" s="38">
        <v>17672.285999999993</v>
      </c>
      <c r="L7" s="38">
        <v>17672.313999999955</v>
      </c>
      <c r="M7" s="38">
        <v>17672.286000000022</v>
      </c>
      <c r="N7" s="38">
        <v>17672.285999999993</v>
      </c>
      <c r="O7" s="38">
        <v>437032.52599999995</v>
      </c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</row>
    <row r="8" spans="1:45" s="43" customFormat="1" ht="16" customHeight="1" x14ac:dyDescent="0.25">
      <c r="A8" s="110"/>
      <c r="B8" s="40" t="s">
        <v>43</v>
      </c>
      <c r="C8" s="41">
        <v>-1.9679999658694507</v>
      </c>
      <c r="D8" s="41">
        <v>-1.7307736906702456</v>
      </c>
      <c r="E8" s="41">
        <v>-1.730774978928816</v>
      </c>
      <c r="F8" s="41">
        <v>-1.7307739995569305</v>
      </c>
      <c r="G8" s="41">
        <v>-1.730773999556934</v>
      </c>
      <c r="H8" s="41">
        <v>-1.7307739995569305</v>
      </c>
      <c r="I8" s="41">
        <v>-1.7307736906702469</v>
      </c>
      <c r="J8" s="41">
        <v>-1.7307739995569311</v>
      </c>
      <c r="K8" s="41">
        <v>-1.7307739995569333</v>
      </c>
      <c r="L8" s="41">
        <v>-1.7307736906702462</v>
      </c>
      <c r="M8" s="41">
        <v>-1.7307739995569311</v>
      </c>
      <c r="N8" s="41">
        <v>-1.7307739995569333</v>
      </c>
      <c r="O8" s="41">
        <v>-1.8549118437900514</v>
      </c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</row>
    <row r="9" spans="1:45" ht="16" customHeight="1" x14ac:dyDescent="0.25">
      <c r="A9" s="107" t="s">
        <v>203</v>
      </c>
      <c r="B9" s="14" t="s">
        <v>4</v>
      </c>
      <c r="C9" s="28">
        <v>2078.79</v>
      </c>
      <c r="D9" s="28">
        <v>83.679999999999836</v>
      </c>
      <c r="E9" s="28">
        <v>83.690000000000055</v>
      </c>
      <c r="F9" s="28">
        <v>83.690000000000055</v>
      </c>
      <c r="G9" s="28">
        <v>83.680000000000291</v>
      </c>
      <c r="H9" s="28">
        <v>83.6899999999996</v>
      </c>
      <c r="I9" s="28">
        <v>83.680000000000291</v>
      </c>
      <c r="J9" s="28">
        <v>83.690000000000055</v>
      </c>
      <c r="K9" s="28">
        <v>83.679999999999836</v>
      </c>
      <c r="L9" s="28">
        <v>83.690000000000055</v>
      </c>
      <c r="M9" s="28">
        <v>83.679999999999836</v>
      </c>
      <c r="N9" s="28">
        <v>83.690000000000055</v>
      </c>
      <c r="O9" s="28">
        <v>2999.33</v>
      </c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</row>
    <row r="10" spans="1:45" ht="16" customHeight="1" x14ac:dyDescent="0.25">
      <c r="B10" s="14" t="s">
        <v>194</v>
      </c>
      <c r="C10" s="28">
        <v>-215610.24000000002</v>
      </c>
      <c r="D10" s="28">
        <v>-8575.8700000000063</v>
      </c>
      <c r="E10" s="28">
        <v>-8575.8599999999969</v>
      </c>
      <c r="F10" s="28">
        <v>-8575.8499999999949</v>
      </c>
      <c r="G10" s="28">
        <v>-8575.7800000000025</v>
      </c>
      <c r="H10" s="28">
        <v>-8575.909999999998</v>
      </c>
      <c r="I10" s="28">
        <v>-8575.8299999999981</v>
      </c>
      <c r="J10" s="28">
        <v>-8575.8499999999985</v>
      </c>
      <c r="K10" s="28">
        <v>-8575.8599999999969</v>
      </c>
      <c r="L10" s="28">
        <v>-8575.8499999999985</v>
      </c>
      <c r="M10" s="28">
        <v>-8575.8600000000079</v>
      </c>
      <c r="N10" s="28">
        <v>-8575.8299999999981</v>
      </c>
      <c r="O10" s="28">
        <v>-309944.58999999997</v>
      </c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</row>
    <row r="11" spans="1:45" ht="16" customHeight="1" x14ac:dyDescent="0.25">
      <c r="A11" s="107" t="s">
        <v>269</v>
      </c>
      <c r="B11" s="14" t="s">
        <v>49</v>
      </c>
      <c r="C11" s="44">
        <v>-4226.1899999999996</v>
      </c>
      <c r="D11" s="44">
        <v>-113.91000000000076</v>
      </c>
      <c r="E11" s="44">
        <v>-113.89999999999964</v>
      </c>
      <c r="F11" s="44">
        <v>-113.90999999999985</v>
      </c>
      <c r="G11" s="44">
        <v>-113.90000000000055</v>
      </c>
      <c r="H11" s="44">
        <v>-113.90999999999985</v>
      </c>
      <c r="I11" s="44">
        <v>-113.89999999999964</v>
      </c>
      <c r="J11" s="44">
        <v>-113.90999999999985</v>
      </c>
      <c r="K11" s="44">
        <v>-113.90000000000055</v>
      </c>
      <c r="L11" s="44">
        <v>-113.90999999999985</v>
      </c>
      <c r="M11" s="44">
        <v>-113.89999999999964</v>
      </c>
      <c r="N11" s="44">
        <v>-113.90999999999985</v>
      </c>
      <c r="O11" s="44">
        <v>-5479.15</v>
      </c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</row>
    <row r="12" spans="1:45" ht="16" customHeight="1" x14ac:dyDescent="0.25">
      <c r="A12" s="107" t="s">
        <v>270</v>
      </c>
      <c r="B12" s="14" t="s">
        <v>21</v>
      </c>
      <c r="C12" s="46">
        <v>-8767.93</v>
      </c>
      <c r="D12" s="46">
        <v>-503.26000000000022</v>
      </c>
      <c r="E12" s="46">
        <v>-503.26000000000022</v>
      </c>
      <c r="F12" s="46">
        <v>-503.2599999999984</v>
      </c>
      <c r="G12" s="46">
        <v>-503.26000000000022</v>
      </c>
      <c r="H12" s="46">
        <v>-503.26000000000022</v>
      </c>
      <c r="I12" s="46">
        <v>-503.27000000000044</v>
      </c>
      <c r="J12" s="46">
        <v>-503.26000000000022</v>
      </c>
      <c r="K12" s="46">
        <v>-503.26000000000022</v>
      </c>
      <c r="L12" s="46">
        <v>-503.26000000000022</v>
      </c>
      <c r="M12" s="46">
        <v>-503.26000000000022</v>
      </c>
      <c r="N12" s="46">
        <v>-503.2599999999984</v>
      </c>
      <c r="O12" s="46">
        <v>-14303.8</v>
      </c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216"/>
      <c r="AG12" s="216"/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</row>
    <row r="13" spans="1:45" ht="16" customHeight="1" x14ac:dyDescent="0.25">
      <c r="A13" s="107" t="s">
        <v>290</v>
      </c>
      <c r="B13" s="14" t="s">
        <v>229</v>
      </c>
      <c r="C13" s="46">
        <v>-8652.08</v>
      </c>
      <c r="D13" s="46">
        <v>-401.13999999999942</v>
      </c>
      <c r="E13" s="46">
        <v>-401.14000000000124</v>
      </c>
      <c r="F13" s="46">
        <v>-401.13999999999942</v>
      </c>
      <c r="G13" s="46">
        <v>-401.1299999999992</v>
      </c>
      <c r="H13" s="46">
        <v>-401.14000000000124</v>
      </c>
      <c r="I13" s="46">
        <v>-401.13999999999942</v>
      </c>
      <c r="J13" s="46">
        <v>-401.13999999999942</v>
      </c>
      <c r="K13" s="46">
        <v>-401.14000000000124</v>
      </c>
      <c r="L13" s="46">
        <v>-401.1299999999992</v>
      </c>
      <c r="M13" s="46">
        <v>-401.13999999999942</v>
      </c>
      <c r="N13" s="46">
        <v>-401.14000000000124</v>
      </c>
      <c r="O13" s="46">
        <v>-13064.6</v>
      </c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216"/>
      <c r="AG13" s="216"/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</row>
    <row r="14" spans="1:45" ht="16" customHeight="1" x14ac:dyDescent="0.25">
      <c r="A14" s="107" t="s">
        <v>271</v>
      </c>
      <c r="B14" s="14" t="s">
        <v>50</v>
      </c>
      <c r="C14" s="46">
        <v>-13272.45</v>
      </c>
      <c r="D14" s="46">
        <v>-166.46999999999935</v>
      </c>
      <c r="E14" s="46">
        <v>-166.46999999999935</v>
      </c>
      <c r="F14" s="46">
        <v>-166.46000000000095</v>
      </c>
      <c r="G14" s="46">
        <v>-166.46999999999935</v>
      </c>
      <c r="H14" s="46">
        <v>-166.47000000000116</v>
      </c>
      <c r="I14" s="46">
        <v>-166.46999999999935</v>
      </c>
      <c r="J14" s="46">
        <v>-166.45999999999913</v>
      </c>
      <c r="K14" s="46">
        <v>-166.47000000000116</v>
      </c>
      <c r="L14" s="46">
        <v>-166.46999999999935</v>
      </c>
      <c r="M14" s="46">
        <v>-166.46999999999935</v>
      </c>
      <c r="N14" s="46">
        <v>-166.46000000000095</v>
      </c>
      <c r="O14" s="46">
        <v>-15103.59</v>
      </c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</row>
    <row r="15" spans="1:45" ht="16" customHeight="1" x14ac:dyDescent="0.25">
      <c r="A15" s="107" t="s">
        <v>272</v>
      </c>
      <c r="B15" s="14" t="s">
        <v>51</v>
      </c>
      <c r="C15" s="46">
        <v>-3798.84</v>
      </c>
      <c r="D15" s="46">
        <v>-150.09999999999991</v>
      </c>
      <c r="E15" s="46">
        <v>-150.08999999999969</v>
      </c>
      <c r="F15" s="46">
        <v>-150.10000000000036</v>
      </c>
      <c r="G15" s="46">
        <v>-150.09000000000015</v>
      </c>
      <c r="H15" s="46">
        <v>-150.09999999999945</v>
      </c>
      <c r="I15" s="46">
        <v>-150.10000000000036</v>
      </c>
      <c r="J15" s="46">
        <v>-150.09000000000015</v>
      </c>
      <c r="K15" s="46">
        <v>-150.09999999999945</v>
      </c>
      <c r="L15" s="46">
        <v>-150.09000000000015</v>
      </c>
      <c r="M15" s="46">
        <v>-150.10000000000036</v>
      </c>
      <c r="N15" s="46">
        <v>-150.09999999999945</v>
      </c>
      <c r="O15" s="46">
        <v>-5449.9</v>
      </c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</row>
    <row r="16" spans="1:45" ht="16" customHeight="1" x14ac:dyDescent="0.25">
      <c r="A16" s="107" t="s">
        <v>273</v>
      </c>
      <c r="B16" s="14" t="s">
        <v>52</v>
      </c>
      <c r="C16" s="46">
        <v>-7566.46</v>
      </c>
      <c r="D16" s="46">
        <v>-440.76999999999953</v>
      </c>
      <c r="E16" s="46">
        <v>-440.77000000000044</v>
      </c>
      <c r="F16" s="46">
        <v>-440.77000000000044</v>
      </c>
      <c r="G16" s="46">
        <v>-440.77000000000044</v>
      </c>
      <c r="H16" s="46">
        <v>-440.77999999999884</v>
      </c>
      <c r="I16" s="46">
        <v>-440.77000000000044</v>
      </c>
      <c r="J16" s="46">
        <v>-440.77000000000044</v>
      </c>
      <c r="K16" s="46">
        <v>-440.76999999999862</v>
      </c>
      <c r="L16" s="46">
        <v>-440.77000000000044</v>
      </c>
      <c r="M16" s="46">
        <v>-440.78000000000065</v>
      </c>
      <c r="N16" s="46">
        <v>-440.77000000000044</v>
      </c>
      <c r="O16" s="46">
        <v>-12414.95</v>
      </c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</row>
    <row r="17" spans="1:45" ht="16" customHeight="1" x14ac:dyDescent="0.25">
      <c r="A17" s="107" t="s">
        <v>274</v>
      </c>
      <c r="B17" s="14" t="s">
        <v>53</v>
      </c>
      <c r="C17" s="46">
        <v>-8984.91</v>
      </c>
      <c r="D17" s="46">
        <v>-434.27000000000044</v>
      </c>
      <c r="E17" s="46">
        <v>-434.27000000000044</v>
      </c>
      <c r="F17" s="46">
        <v>-434.26999999999862</v>
      </c>
      <c r="G17" s="46">
        <v>-434.26000000000022</v>
      </c>
      <c r="H17" s="46">
        <v>-434.27000000000044</v>
      </c>
      <c r="I17" s="46">
        <v>-434.27000000000044</v>
      </c>
      <c r="J17" s="46">
        <v>-434.26000000000022</v>
      </c>
      <c r="K17" s="46">
        <v>-434.26999999999862</v>
      </c>
      <c r="L17" s="46">
        <v>-434.27000000000044</v>
      </c>
      <c r="M17" s="46">
        <v>-434.26000000000022</v>
      </c>
      <c r="N17" s="46">
        <v>-434.27000000000044</v>
      </c>
      <c r="O17" s="46">
        <v>-13761.85</v>
      </c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</row>
    <row r="18" spans="1:45" ht="16" customHeight="1" x14ac:dyDescent="0.25">
      <c r="A18" s="107" t="s">
        <v>289</v>
      </c>
      <c r="B18" s="14" t="s">
        <v>66</v>
      </c>
      <c r="C18" s="46">
        <v>-9247.91</v>
      </c>
      <c r="D18" s="46">
        <v>-313.29000000000087</v>
      </c>
      <c r="E18" s="46">
        <v>-313.29999999999927</v>
      </c>
      <c r="F18" s="46">
        <v>-313.29000000000087</v>
      </c>
      <c r="G18" s="46">
        <v>-313.28999999999905</v>
      </c>
      <c r="H18" s="46">
        <v>-313.29000000000087</v>
      </c>
      <c r="I18" s="46">
        <v>-313.28999999999905</v>
      </c>
      <c r="J18" s="46">
        <v>-313.29000000000087</v>
      </c>
      <c r="K18" s="46">
        <v>-313.28999999999905</v>
      </c>
      <c r="L18" s="46">
        <v>-313.30000000000109</v>
      </c>
      <c r="M18" s="46">
        <v>-313.28999999999905</v>
      </c>
      <c r="N18" s="46">
        <v>-313.29000000000087</v>
      </c>
      <c r="O18" s="46">
        <v>-12694.12</v>
      </c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</row>
    <row r="19" spans="1:45" ht="16" customHeight="1" x14ac:dyDescent="0.25">
      <c r="A19" s="107" t="s">
        <v>275</v>
      </c>
      <c r="B19" s="14" t="s">
        <v>54</v>
      </c>
      <c r="C19" s="46">
        <v>-2076.35</v>
      </c>
      <c r="D19" s="46">
        <v>-130.38000000000011</v>
      </c>
      <c r="E19" s="46">
        <v>-130.38999999999987</v>
      </c>
      <c r="F19" s="46">
        <v>-130.38000000000011</v>
      </c>
      <c r="G19" s="46">
        <v>-130.38000000000011</v>
      </c>
      <c r="H19" s="46">
        <v>-130.38999999999987</v>
      </c>
      <c r="I19" s="46">
        <v>-130.38000000000011</v>
      </c>
      <c r="J19" s="46">
        <v>-130.38000000000011</v>
      </c>
      <c r="K19" s="46">
        <v>-130.38999999999987</v>
      </c>
      <c r="L19" s="46">
        <v>-130.38000000000011</v>
      </c>
      <c r="M19" s="46">
        <v>-130.37999999999965</v>
      </c>
      <c r="N19" s="46">
        <v>-130.39000000000033</v>
      </c>
      <c r="O19" s="46">
        <v>-3510.57</v>
      </c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</row>
    <row r="20" spans="1:45" ht="16" customHeight="1" x14ac:dyDescent="0.25">
      <c r="A20" s="107" t="s">
        <v>276</v>
      </c>
      <c r="B20" s="14" t="s">
        <v>55</v>
      </c>
      <c r="C20" s="46">
        <v>-7847.07</v>
      </c>
      <c r="D20" s="46">
        <v>-421.20000000000073</v>
      </c>
      <c r="E20" s="46">
        <v>-421.19999999999891</v>
      </c>
      <c r="F20" s="46">
        <v>-421.21000000000095</v>
      </c>
      <c r="G20" s="46">
        <v>-421.19999999999891</v>
      </c>
      <c r="H20" s="46">
        <v>-421.21000000000095</v>
      </c>
      <c r="I20" s="46">
        <v>-421.20000000000073</v>
      </c>
      <c r="J20" s="46">
        <v>-421.19999999999891</v>
      </c>
      <c r="K20" s="46">
        <v>-421.21000000000095</v>
      </c>
      <c r="L20" s="46">
        <v>-421.19999999999891</v>
      </c>
      <c r="M20" s="46">
        <v>-421.21000000000095</v>
      </c>
      <c r="N20" s="46">
        <v>-421.19999999999891</v>
      </c>
      <c r="O20" s="46">
        <v>-12480.31</v>
      </c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</row>
    <row r="21" spans="1:45" ht="16" customHeight="1" x14ac:dyDescent="0.25">
      <c r="A21" s="107" t="s">
        <v>277</v>
      </c>
      <c r="B21" s="14" t="s">
        <v>56</v>
      </c>
      <c r="C21" s="46">
        <v>-7938.7</v>
      </c>
      <c r="D21" s="46">
        <v>-393.98000000000047</v>
      </c>
      <c r="E21" s="46">
        <v>-393.97999999999956</v>
      </c>
      <c r="F21" s="46">
        <v>-393.97999999999956</v>
      </c>
      <c r="G21" s="46">
        <v>-393.98000000000138</v>
      </c>
      <c r="H21" s="46">
        <v>-393.97999999999956</v>
      </c>
      <c r="I21" s="46">
        <v>-393.97999999999956</v>
      </c>
      <c r="J21" s="46">
        <v>-393.97999999999956</v>
      </c>
      <c r="K21" s="46">
        <v>-393.98000000000138</v>
      </c>
      <c r="L21" s="46">
        <v>-393.97999999999956</v>
      </c>
      <c r="M21" s="46">
        <v>-393.97999999999956</v>
      </c>
      <c r="N21" s="46">
        <v>-393.97999999999956</v>
      </c>
      <c r="O21" s="46">
        <v>-12272.48</v>
      </c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</row>
    <row r="22" spans="1:45" ht="16" customHeight="1" x14ac:dyDescent="0.25">
      <c r="A22" s="107" t="s">
        <v>278</v>
      </c>
      <c r="B22" s="14" t="s">
        <v>57</v>
      </c>
      <c r="C22" s="46">
        <v>-16886.46</v>
      </c>
      <c r="D22" s="46">
        <v>-385.45000000000073</v>
      </c>
      <c r="E22" s="46">
        <v>-385.45999999999913</v>
      </c>
      <c r="F22" s="46">
        <v>-385.45000000000073</v>
      </c>
      <c r="G22" s="46">
        <v>-385.45000000000073</v>
      </c>
      <c r="H22" s="46">
        <v>-385.45999999999913</v>
      </c>
      <c r="I22" s="46">
        <v>-385.45000000000073</v>
      </c>
      <c r="J22" s="46">
        <v>-385.45999999999913</v>
      </c>
      <c r="K22" s="46">
        <v>-385.45000000000073</v>
      </c>
      <c r="L22" s="46">
        <v>-385.45999999999913</v>
      </c>
      <c r="M22" s="46">
        <v>-385.45000000000073</v>
      </c>
      <c r="N22" s="46">
        <v>-385.45000000000073</v>
      </c>
      <c r="O22" s="46">
        <v>-21126.45</v>
      </c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</row>
    <row r="23" spans="1:45" ht="16" customHeight="1" x14ac:dyDescent="0.25">
      <c r="A23" s="107" t="s">
        <v>279</v>
      </c>
      <c r="B23" s="14" t="s">
        <v>58</v>
      </c>
      <c r="C23" s="46">
        <v>-1228.77</v>
      </c>
      <c r="D23" s="46">
        <v>-32.529999999999973</v>
      </c>
      <c r="E23" s="46">
        <v>-32.529999999999973</v>
      </c>
      <c r="F23" s="46">
        <v>-32.529999999999973</v>
      </c>
      <c r="G23" s="46">
        <v>-32.5300000000002</v>
      </c>
      <c r="H23" s="46">
        <v>-32.529999999999973</v>
      </c>
      <c r="I23" s="46">
        <v>-32.529999999999973</v>
      </c>
      <c r="J23" s="46">
        <v>-32.529999999999973</v>
      </c>
      <c r="K23" s="46">
        <v>-32.529999999999973</v>
      </c>
      <c r="L23" s="46">
        <v>-32.529999999999973</v>
      </c>
      <c r="M23" s="46">
        <v>-32.529999999999973</v>
      </c>
      <c r="N23" s="46">
        <v>-32.529999999999973</v>
      </c>
      <c r="O23" s="46">
        <v>-1586.6</v>
      </c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</row>
    <row r="24" spans="1:45" ht="16" customHeight="1" x14ac:dyDescent="0.25">
      <c r="A24" s="107" t="s">
        <v>280</v>
      </c>
      <c r="B24" s="14" t="s">
        <v>59</v>
      </c>
      <c r="C24" s="46">
        <v>-1282.8599999999999</v>
      </c>
      <c r="D24" s="46">
        <v>-74.650000000000091</v>
      </c>
      <c r="E24" s="46">
        <v>-74.6400000000001</v>
      </c>
      <c r="F24" s="46">
        <v>-74.639999999999873</v>
      </c>
      <c r="G24" s="46">
        <v>-74.6400000000001</v>
      </c>
      <c r="H24" s="46">
        <v>-74.649999999999864</v>
      </c>
      <c r="I24" s="46">
        <v>-74.6400000000001</v>
      </c>
      <c r="J24" s="46">
        <v>-74.639999999999873</v>
      </c>
      <c r="K24" s="46">
        <v>-74.650000000000091</v>
      </c>
      <c r="L24" s="46">
        <v>-74.6400000000001</v>
      </c>
      <c r="M24" s="46">
        <v>-74.639999999999873</v>
      </c>
      <c r="N24" s="46">
        <v>-74.639999999999873</v>
      </c>
      <c r="O24" s="46">
        <v>-2103.9299999999998</v>
      </c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</row>
    <row r="25" spans="1:45" ht="16" customHeight="1" x14ac:dyDescent="0.25">
      <c r="A25" s="107" t="s">
        <v>287</v>
      </c>
      <c r="B25" s="14" t="s">
        <v>224</v>
      </c>
      <c r="C25" s="46">
        <v>-30835.09</v>
      </c>
      <c r="D25" s="46">
        <v>-1403.0400000000009</v>
      </c>
      <c r="E25" s="46">
        <v>-1403.0300000000025</v>
      </c>
      <c r="F25" s="46">
        <v>-1403.0299999999988</v>
      </c>
      <c r="G25" s="46">
        <v>-1403.0299999999988</v>
      </c>
      <c r="H25" s="46">
        <v>-1403.0299999999988</v>
      </c>
      <c r="I25" s="46">
        <v>-1403.0299999999988</v>
      </c>
      <c r="J25" s="46">
        <v>-1403.0299999999988</v>
      </c>
      <c r="K25" s="46">
        <v>-1403.0299999999988</v>
      </c>
      <c r="L25" s="46">
        <v>-1403.0400000000009</v>
      </c>
      <c r="M25" s="46">
        <v>-1403.0300000000061</v>
      </c>
      <c r="N25" s="46">
        <v>-1403.0299999999988</v>
      </c>
      <c r="O25" s="46">
        <v>-46268.44</v>
      </c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</row>
    <row r="26" spans="1:45" ht="16" customHeight="1" x14ac:dyDescent="0.25">
      <c r="A26" s="107" t="s">
        <v>288</v>
      </c>
      <c r="B26" s="14" t="s">
        <v>226</v>
      </c>
      <c r="C26" s="46">
        <v>-35091.800000000003</v>
      </c>
      <c r="D26" s="46">
        <v>-755.52999999999884</v>
      </c>
      <c r="E26" s="46">
        <v>-755.5199999999968</v>
      </c>
      <c r="F26" s="46">
        <v>-755.52999999999884</v>
      </c>
      <c r="G26" s="46">
        <v>-755.52000000000407</v>
      </c>
      <c r="H26" s="46">
        <v>-755.52999999999884</v>
      </c>
      <c r="I26" s="46">
        <v>-755.5199999999968</v>
      </c>
      <c r="J26" s="46">
        <v>-755.53000000000611</v>
      </c>
      <c r="K26" s="46">
        <v>-755.5199999999968</v>
      </c>
      <c r="L26" s="46">
        <v>-755.52999999999884</v>
      </c>
      <c r="M26" s="46">
        <v>-755.52000000000407</v>
      </c>
      <c r="N26" s="46">
        <v>-755.5199999999968</v>
      </c>
      <c r="O26" s="46">
        <v>-43402.57</v>
      </c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</row>
    <row r="27" spans="1:45" ht="16" customHeight="1" x14ac:dyDescent="0.25">
      <c r="A27" s="107" t="s">
        <v>281</v>
      </c>
      <c r="B27" s="14" t="s">
        <v>60</v>
      </c>
      <c r="C27" s="46">
        <v>-3829.2</v>
      </c>
      <c r="D27" s="46">
        <v>-193.43000000000029</v>
      </c>
      <c r="E27" s="46">
        <v>-193.43000000000029</v>
      </c>
      <c r="F27" s="46">
        <v>-193.42999999999938</v>
      </c>
      <c r="G27" s="46">
        <v>-193.43000000000029</v>
      </c>
      <c r="H27" s="46">
        <v>-193.43000000000029</v>
      </c>
      <c r="I27" s="46">
        <v>-193.42999999999938</v>
      </c>
      <c r="J27" s="46">
        <v>-193.43000000000029</v>
      </c>
      <c r="K27" s="46">
        <v>-193.43000000000029</v>
      </c>
      <c r="L27" s="46">
        <v>-193.42999999999938</v>
      </c>
      <c r="M27" s="46">
        <v>-193.43000000000029</v>
      </c>
      <c r="N27" s="46">
        <v>-193.43000000000029</v>
      </c>
      <c r="O27" s="46">
        <v>-5956.93</v>
      </c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</row>
    <row r="28" spans="1:45" ht="16" customHeight="1" x14ac:dyDescent="0.25">
      <c r="A28" s="107" t="s">
        <v>282</v>
      </c>
      <c r="B28" s="14" t="s">
        <v>61</v>
      </c>
      <c r="C28" s="46">
        <v>-9168.1</v>
      </c>
      <c r="D28" s="46">
        <v>-320.48999999999978</v>
      </c>
      <c r="E28" s="46">
        <v>-320.5</v>
      </c>
      <c r="F28" s="46">
        <v>-320.48999999999978</v>
      </c>
      <c r="G28" s="46">
        <v>-320.48999999999978</v>
      </c>
      <c r="H28" s="46">
        <v>-320.5</v>
      </c>
      <c r="I28" s="46">
        <v>-320.48999999999978</v>
      </c>
      <c r="J28" s="46">
        <v>-320.5</v>
      </c>
      <c r="K28" s="46">
        <v>-320.48999999999978</v>
      </c>
      <c r="L28" s="46">
        <v>-320.5</v>
      </c>
      <c r="M28" s="46">
        <v>-320.4900000000016</v>
      </c>
      <c r="N28" s="46">
        <v>-320.48999999999978</v>
      </c>
      <c r="O28" s="46">
        <v>-12693.53</v>
      </c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</row>
    <row r="29" spans="1:45" ht="16" customHeight="1" x14ac:dyDescent="0.25">
      <c r="A29" s="107" t="s">
        <v>283</v>
      </c>
      <c r="B29" s="14" t="s">
        <v>62</v>
      </c>
      <c r="C29" s="46">
        <v>-4693.45</v>
      </c>
      <c r="D29" s="46">
        <v>-306.63000000000011</v>
      </c>
      <c r="E29" s="46">
        <v>-306.64000000000033</v>
      </c>
      <c r="F29" s="46">
        <v>-306.63999999999942</v>
      </c>
      <c r="G29" s="46">
        <v>-306.64000000000033</v>
      </c>
      <c r="H29" s="46">
        <v>-306.63000000000011</v>
      </c>
      <c r="I29" s="46">
        <v>-306.64000000000033</v>
      </c>
      <c r="J29" s="46">
        <v>-306.63999999999942</v>
      </c>
      <c r="K29" s="46">
        <v>-306.63000000000011</v>
      </c>
      <c r="L29" s="46">
        <v>-306.64000000000033</v>
      </c>
      <c r="M29" s="46">
        <v>-306.63999999999942</v>
      </c>
      <c r="N29" s="46">
        <v>-306.64000000000033</v>
      </c>
      <c r="O29" s="46">
        <v>-8066.46</v>
      </c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</row>
    <row r="30" spans="1:45" ht="16" customHeight="1" x14ac:dyDescent="0.25">
      <c r="A30" s="107" t="s">
        <v>284</v>
      </c>
      <c r="B30" s="14" t="s">
        <v>63</v>
      </c>
      <c r="C30" s="46">
        <v>-3059.18</v>
      </c>
      <c r="D30" s="46">
        <v>-75.320000000000164</v>
      </c>
      <c r="E30" s="46">
        <v>-75.309999999999945</v>
      </c>
      <c r="F30" s="46">
        <v>-75.309999999999945</v>
      </c>
      <c r="G30" s="46">
        <v>-75.320000000000164</v>
      </c>
      <c r="H30" s="46">
        <v>-75.309999999999945</v>
      </c>
      <c r="I30" s="46">
        <v>-75.309999999999945</v>
      </c>
      <c r="J30" s="46">
        <v>-75.320000000000164</v>
      </c>
      <c r="K30" s="46">
        <v>-75.309999999999945</v>
      </c>
      <c r="L30" s="46">
        <v>-75.309999999999945</v>
      </c>
      <c r="M30" s="46">
        <v>-75.320000000000164</v>
      </c>
      <c r="N30" s="46">
        <v>-75.309999999999945</v>
      </c>
      <c r="O30" s="46">
        <v>-3887.63</v>
      </c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</row>
    <row r="31" spans="1:45" ht="16" customHeight="1" x14ac:dyDescent="0.25">
      <c r="A31" s="107" t="s">
        <v>285</v>
      </c>
      <c r="B31" s="14" t="s">
        <v>64</v>
      </c>
      <c r="C31" s="46">
        <v>-3607.76</v>
      </c>
      <c r="D31" s="46">
        <v>-107.05999999999995</v>
      </c>
      <c r="E31" s="46">
        <v>-107.04999999999973</v>
      </c>
      <c r="F31" s="46">
        <v>-107.05999999999995</v>
      </c>
      <c r="G31" s="46">
        <v>-107.05000000000018</v>
      </c>
      <c r="H31" s="46">
        <v>-107.04999999999973</v>
      </c>
      <c r="I31" s="46">
        <v>-107.0600000000004</v>
      </c>
      <c r="J31" s="46">
        <v>-107.05000000000018</v>
      </c>
      <c r="K31" s="46">
        <v>-107.05999999999949</v>
      </c>
      <c r="L31" s="46">
        <v>-107.05000000000018</v>
      </c>
      <c r="M31" s="46">
        <v>-107.05000000000018</v>
      </c>
      <c r="N31" s="46">
        <v>-107.05999999999949</v>
      </c>
      <c r="O31" s="46">
        <v>-4785.3599999999997</v>
      </c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</row>
    <row r="32" spans="1:45" ht="16" customHeight="1" x14ac:dyDescent="0.25">
      <c r="A32" s="107" t="s">
        <v>286</v>
      </c>
      <c r="B32" s="14" t="s">
        <v>65</v>
      </c>
      <c r="C32" s="46">
        <v>-9367.2800000000007</v>
      </c>
      <c r="D32" s="46">
        <v>-641.53999999999905</v>
      </c>
      <c r="E32" s="46">
        <v>-641.54000000000087</v>
      </c>
      <c r="F32" s="46">
        <v>-641.53999999999905</v>
      </c>
      <c r="G32" s="46">
        <v>-641.53000000000065</v>
      </c>
      <c r="H32" s="46">
        <v>-641.53999999999905</v>
      </c>
      <c r="I32" s="46">
        <v>-641.54000000000087</v>
      </c>
      <c r="J32" s="46">
        <v>-641.53999999999905</v>
      </c>
      <c r="K32" s="46">
        <v>-641.54000000000087</v>
      </c>
      <c r="L32" s="46">
        <v>-641.53999999999905</v>
      </c>
      <c r="M32" s="46">
        <v>-641.54000000000087</v>
      </c>
      <c r="N32" s="46">
        <v>-641.53999999999905</v>
      </c>
      <c r="O32" s="46">
        <v>-16424.21</v>
      </c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</row>
    <row r="33" spans="1:45" ht="16" customHeight="1" x14ac:dyDescent="0.25">
      <c r="A33" s="107" t="s">
        <v>245</v>
      </c>
      <c r="B33" s="14" t="s">
        <v>22</v>
      </c>
      <c r="C33" s="48">
        <v>-14181.399999999998</v>
      </c>
      <c r="D33" s="48">
        <v>-811.43000000000393</v>
      </c>
      <c r="E33" s="48">
        <v>-811.43999999999869</v>
      </c>
      <c r="F33" s="48">
        <v>-811.43000000000029</v>
      </c>
      <c r="G33" s="48">
        <v>-811.41999999999825</v>
      </c>
      <c r="H33" s="48">
        <v>-811.45000000000073</v>
      </c>
      <c r="I33" s="48">
        <v>-811.42000000000189</v>
      </c>
      <c r="J33" s="48">
        <v>-811.43999999999869</v>
      </c>
      <c r="K33" s="48">
        <v>-811.43999999999869</v>
      </c>
      <c r="L33" s="48">
        <v>-811.42000000000189</v>
      </c>
      <c r="M33" s="48">
        <v>-811.44999999999709</v>
      </c>
      <c r="N33" s="48">
        <v>-811.42000000000189</v>
      </c>
      <c r="O33" s="48">
        <v>-23107.16</v>
      </c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</row>
    <row r="34" spans="1:45" ht="16" customHeight="1" x14ac:dyDescent="0.25">
      <c r="B34" s="14" t="s">
        <v>234</v>
      </c>
      <c r="C34" s="28">
        <v>460326.31600000005</v>
      </c>
      <c r="D34" s="28">
        <v>26331.864000000005</v>
      </c>
      <c r="E34" s="28">
        <v>26331.845999999998</v>
      </c>
      <c r="F34" s="28">
        <v>26331.825999999957</v>
      </c>
      <c r="G34" s="28">
        <v>26331.746000000054</v>
      </c>
      <c r="H34" s="28">
        <v>26331.885999999962</v>
      </c>
      <c r="I34" s="28">
        <v>26331.824000000011</v>
      </c>
      <c r="J34" s="28">
        <v>26331.826000000019</v>
      </c>
      <c r="K34" s="28">
        <v>26331.82599999999</v>
      </c>
      <c r="L34" s="28">
        <v>26331.853999999952</v>
      </c>
      <c r="M34" s="28">
        <v>26331.82600000003</v>
      </c>
      <c r="N34" s="28">
        <v>26331.80599999999</v>
      </c>
      <c r="O34" s="28">
        <v>749976.446</v>
      </c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</row>
    <row r="35" spans="1:45" ht="16" customHeight="1" x14ac:dyDescent="0.25">
      <c r="A35" s="107" t="s">
        <v>243</v>
      </c>
      <c r="B35" s="14" t="s">
        <v>23</v>
      </c>
      <c r="C35" s="28">
        <v>-3862.03</v>
      </c>
      <c r="D35" s="28">
        <v>-102.73999999999978</v>
      </c>
      <c r="E35" s="28">
        <v>-102.75</v>
      </c>
      <c r="F35" s="28">
        <v>-102.74000000000024</v>
      </c>
      <c r="G35" s="28">
        <v>-102.73999999999978</v>
      </c>
      <c r="H35" s="28">
        <v>-102.73999999999978</v>
      </c>
      <c r="I35" s="28">
        <v>-102.73999999999978</v>
      </c>
      <c r="J35" s="28">
        <v>-102.75</v>
      </c>
      <c r="K35" s="28">
        <v>-102.74000000000069</v>
      </c>
      <c r="L35" s="28">
        <v>-102.73999999999978</v>
      </c>
      <c r="M35" s="28">
        <v>-102.73999999999978</v>
      </c>
      <c r="N35" s="28">
        <v>-102.73999999999978</v>
      </c>
      <c r="O35" s="28">
        <v>-4992.1899999999996</v>
      </c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</row>
    <row r="36" spans="1:45" ht="16" customHeight="1" x14ac:dyDescent="0.25">
      <c r="B36" s="14" t="s">
        <v>31</v>
      </c>
      <c r="C36" s="38">
        <v>464188.34600000008</v>
      </c>
      <c r="D36" s="38">
        <v>26434.604000000007</v>
      </c>
      <c r="E36" s="38">
        <v>26434.595999999998</v>
      </c>
      <c r="F36" s="38">
        <v>26434.565999999959</v>
      </c>
      <c r="G36" s="38">
        <v>26434.486000000055</v>
      </c>
      <c r="H36" s="38">
        <v>26434.62599999996</v>
      </c>
      <c r="I36" s="38">
        <v>26434.564000000013</v>
      </c>
      <c r="J36" s="38">
        <v>26434.576000000019</v>
      </c>
      <c r="K36" s="38">
        <v>26434.565999999992</v>
      </c>
      <c r="L36" s="38">
        <v>26434.593999999954</v>
      </c>
      <c r="M36" s="38">
        <v>26434.566000000028</v>
      </c>
      <c r="N36" s="38">
        <v>26434.545999999988</v>
      </c>
      <c r="O36" s="38">
        <v>754968.63599999994</v>
      </c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</row>
    <row r="37" spans="1:45" ht="16" customHeight="1" x14ac:dyDescent="0.25">
      <c r="A37" s="107" t="s">
        <v>244</v>
      </c>
      <c r="B37" s="14" t="s">
        <v>199</v>
      </c>
      <c r="C37" s="28">
        <v>-9558.7000000000007</v>
      </c>
      <c r="D37" s="28">
        <v>-327.09999999999854</v>
      </c>
      <c r="E37" s="28">
        <v>-327.10000000000036</v>
      </c>
      <c r="F37" s="28">
        <v>-327.10000000000036</v>
      </c>
      <c r="G37" s="28">
        <v>-327.09000000000015</v>
      </c>
      <c r="H37" s="28">
        <v>-327.10000000000036</v>
      </c>
      <c r="I37" s="28">
        <v>-327.10000000000036</v>
      </c>
      <c r="J37" s="28">
        <v>-327.09999999999854</v>
      </c>
      <c r="K37" s="28">
        <v>-327.09000000000015</v>
      </c>
      <c r="L37" s="28">
        <v>-327.10000000000036</v>
      </c>
      <c r="M37" s="28">
        <v>-327.10000000000036</v>
      </c>
      <c r="N37" s="28">
        <v>-327.09000000000015</v>
      </c>
      <c r="O37" s="28">
        <v>-13156.77</v>
      </c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</row>
    <row r="38" spans="1:45" ht="16" customHeight="1" x14ac:dyDescent="0.25">
      <c r="B38" s="14" t="s">
        <v>75</v>
      </c>
      <c r="C38" s="38">
        <v>473747.04600000009</v>
      </c>
      <c r="D38" s="38">
        <v>26761.704000000005</v>
      </c>
      <c r="E38" s="38">
        <v>26761.695999999996</v>
      </c>
      <c r="F38" s="38">
        <v>26761.665999999961</v>
      </c>
      <c r="G38" s="38">
        <v>26761.576000000056</v>
      </c>
      <c r="H38" s="38">
        <v>26761.725999999959</v>
      </c>
      <c r="I38" s="38">
        <v>26761.664000000012</v>
      </c>
      <c r="J38" s="38">
        <v>26761.676000000018</v>
      </c>
      <c r="K38" s="38">
        <v>26761.655999999992</v>
      </c>
      <c r="L38" s="38">
        <v>26761.693999999952</v>
      </c>
      <c r="M38" s="38">
        <v>26761.666000000027</v>
      </c>
      <c r="N38" s="38">
        <v>26761.635999999988</v>
      </c>
      <c r="O38" s="38">
        <v>768125.40599999996</v>
      </c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</row>
    <row r="39" spans="1:45" ht="16" customHeight="1" x14ac:dyDescent="0.25">
      <c r="A39" s="107" t="s">
        <v>268</v>
      </c>
      <c r="B39" s="14" t="s">
        <v>237</v>
      </c>
      <c r="C39" s="28">
        <v>-877867.19599999953</v>
      </c>
      <c r="D39" s="28">
        <v>-394633.95999999944</v>
      </c>
      <c r="E39" s="28">
        <v>-367498.57599999942</v>
      </c>
      <c r="F39" s="28">
        <v>-340363.19999999943</v>
      </c>
      <c r="G39" s="28">
        <v>-313227.85399999947</v>
      </c>
      <c r="H39" s="28">
        <v>-286092.59799999942</v>
      </c>
      <c r="I39" s="28">
        <v>-258957.18199999945</v>
      </c>
      <c r="J39" s="28">
        <v>-231821.83799999944</v>
      </c>
      <c r="K39" s="28">
        <v>-204686.48199999944</v>
      </c>
      <c r="L39" s="28">
        <v>-177551.14599999945</v>
      </c>
      <c r="M39" s="28">
        <v>-150415.7719999995</v>
      </c>
      <c r="N39" s="28">
        <v>-123280.42599999948</v>
      </c>
      <c r="O39" s="28">
        <v>-877867.19599999953</v>
      </c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</row>
    <row r="40" spans="1:45" ht="16" customHeight="1" x14ac:dyDescent="0.25">
      <c r="A40" s="107" t="s">
        <v>246</v>
      </c>
      <c r="B40" s="14" t="s">
        <v>24</v>
      </c>
      <c r="C40" s="28">
        <v>-9486.19</v>
      </c>
      <c r="D40" s="28">
        <v>-373.68000000000029</v>
      </c>
      <c r="E40" s="28">
        <v>-373.67999999999847</v>
      </c>
      <c r="F40" s="28">
        <v>-373.68000000000029</v>
      </c>
      <c r="G40" s="28">
        <v>-373.68000000000029</v>
      </c>
      <c r="H40" s="28">
        <v>-373.69000000000051</v>
      </c>
      <c r="I40" s="28">
        <v>-373.68000000000029</v>
      </c>
      <c r="J40" s="28">
        <v>-373.67999999999847</v>
      </c>
      <c r="K40" s="28">
        <v>-373.68000000000029</v>
      </c>
      <c r="L40" s="28">
        <v>-373.68000000000029</v>
      </c>
      <c r="M40" s="28">
        <v>-373.68000000000029</v>
      </c>
      <c r="N40" s="28">
        <v>-373.68000000000029</v>
      </c>
      <c r="O40" s="28">
        <v>-13596.68</v>
      </c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</row>
    <row r="41" spans="1:45" s="3" customFormat="1" ht="16" customHeight="1" thickBot="1" x14ac:dyDescent="0.3">
      <c r="A41" s="111"/>
      <c r="B41" s="50" t="s">
        <v>74</v>
      </c>
      <c r="C41" s="51">
        <v>-394633.95999999944</v>
      </c>
      <c r="D41" s="51">
        <v>-367498.57599999942</v>
      </c>
      <c r="E41" s="51">
        <v>-340363.19999999943</v>
      </c>
      <c r="F41" s="51">
        <v>-313227.85399999947</v>
      </c>
      <c r="G41" s="51">
        <v>-286092.59799999942</v>
      </c>
      <c r="H41" s="51">
        <v>-258957.18199999945</v>
      </c>
      <c r="I41" s="51">
        <v>-231821.83799999944</v>
      </c>
      <c r="J41" s="51">
        <v>-204686.48199999944</v>
      </c>
      <c r="K41" s="51">
        <v>-177551.14599999945</v>
      </c>
      <c r="L41" s="51">
        <v>-150415.7719999995</v>
      </c>
      <c r="M41" s="51">
        <v>-123280.42599999948</v>
      </c>
      <c r="N41" s="51">
        <v>-96145.109999999491</v>
      </c>
      <c r="O41" s="51">
        <v>-96145.109999999579</v>
      </c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</row>
    <row r="42" spans="1:45" ht="16" customHeight="1" thickTop="1" x14ac:dyDescent="0.25"/>
  </sheetData>
  <sheetProtection algorithmName="SHA-512" hashValue="SOwgVcrx/3UV3J6PaEkY2UDu+eRk/9PPgd1ltFhGjxCOTJ/8iP5ZNAOB4oI9zkwuxNcFS3GXBWQHN6xcVrTN7g==" saltValue="jtHM33qAIKFTV4p5td9EkA==" spinCount="100000" sheet="1" objects="1" scenarios="1"/>
  <pageMargins left="0.55118110236220474" right="0.55118110236220474" top="0.55118110236220474" bottom="0.55118110236220474" header="0.39370078740157483" footer="0.39370078740157483"/>
  <pageSetup paperSize="9" scale="68" orientation="landscape" r:id="rId1"/>
  <headerFooter>
    <oddFooter>&amp;C&amp;9Page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22</vt:i4>
      </vt:variant>
    </vt:vector>
  </HeadingPairs>
  <TitlesOfParts>
    <vt:vector size="34" baseType="lpstr">
      <vt:lpstr>Setup</vt:lpstr>
      <vt:lpstr>Groups</vt:lpstr>
      <vt:lpstr>Key</vt:lpstr>
      <vt:lpstr>Dashboard</vt:lpstr>
      <vt:lpstr>Income Statement</vt:lpstr>
      <vt:lpstr>Balance Sheet</vt:lpstr>
      <vt:lpstr>Cashflow Statement</vt:lpstr>
      <vt:lpstr>Forecast</vt:lpstr>
      <vt:lpstr>ISMonth</vt:lpstr>
      <vt:lpstr>TBCY</vt:lpstr>
      <vt:lpstr>TBPY</vt:lpstr>
      <vt:lpstr>TBCheck</vt:lpstr>
      <vt:lpstr>BalRowNo</vt:lpstr>
      <vt:lpstr>CfsRowNo</vt:lpstr>
      <vt:lpstr>ForMonths</vt:lpstr>
      <vt:lpstr>IncRowNo</vt:lpstr>
      <vt:lpstr>IsRowNo</vt:lpstr>
      <vt:lpstr>MonthNames</vt:lpstr>
      <vt:lpstr>'Balance Sheet'!Print_Area</vt:lpstr>
      <vt:lpstr>'Cashflow Statement'!Print_Area</vt:lpstr>
      <vt:lpstr>Dashboard!Print_Area</vt:lpstr>
      <vt:lpstr>'Income Statement'!Print_Area</vt:lpstr>
      <vt:lpstr>ISMonth!Print_Area</vt:lpstr>
      <vt:lpstr>'Balance Sheet'!Print_Titles</vt:lpstr>
      <vt:lpstr>'Cashflow Statement'!Print_Titles</vt:lpstr>
      <vt:lpstr>Forecast!Print_Titles</vt:lpstr>
      <vt:lpstr>'Income Statement'!Print_Titles</vt:lpstr>
      <vt:lpstr>ISMonth!Print_Titles</vt:lpstr>
      <vt:lpstr>Key!Print_Titles</vt:lpstr>
      <vt:lpstr>TBCheck!Print_Titles</vt:lpstr>
      <vt:lpstr>TBCY!Print_Titles</vt:lpstr>
      <vt:lpstr>TBPY!Print_Titles</vt:lpstr>
      <vt:lpstr>PYMonths</vt:lpstr>
      <vt:lpstr>TBMonths</vt:lpstr>
    </vt:vector>
  </TitlesOfParts>
  <Company>LedgerGrove.com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Ledger Grove - Management Accounts</dc:title>
  <dc:subject>Management Accounts</dc:subject>
  <dc:creator>Ledger Grove</dc:creator>
  <cp:keywords>Management accounts</cp:keywords>
  <cp:lastModifiedBy>Saeed Osman</cp:lastModifiedBy>
  <cp:lastPrinted>2021-04-14T14:13:57Z</cp:lastPrinted>
  <dcterms:created xsi:type="dcterms:W3CDTF">2009-09-28T11:29:56Z</dcterms:created>
  <dcterms:modified xsi:type="dcterms:W3CDTF">2026-01-24T18:08:23Z</dcterms:modified>
  <cp:category>Management Accounts</cp:category>
  <cp:contentStatus>Version 1.0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6763e7f1-fdae-4027-b37a-4bc5ef44d23f</vt:lpwstr>
  </property>
</Properties>
</file>